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1.xml" ContentType="application/vnd.openxmlformats-officedocument.spreadsheetml.comments+xml"/>
  <Override PartName="/xl/worksheets/sheet6.xml" ContentType="application/vnd.openxmlformats-officedocument.spreadsheetml.worksheet+xml"/>
  <Override PartName="/xl/comments2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d2c012404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ress Balance" sheetId="1" r:id="Re6d7c9b587494142"/>
    <x:sheet xmlns:r="http://schemas.openxmlformats.org/officeDocument/2006/relationships" name="Revenue basis" sheetId="2" r:id="Rc1ab0720cb524c42"/>
    <x:sheet xmlns:r="http://schemas.openxmlformats.org/officeDocument/2006/relationships" name="Stress Cash Flow" sheetId="3" r:id="R194dbbacd53244b7"/>
    <x:sheet xmlns:r="http://schemas.openxmlformats.org/officeDocument/2006/relationships" name="Inputs" sheetId="4" r:id="R86755a53936a4e54"/>
    <x:sheet xmlns:r="http://schemas.openxmlformats.org/officeDocument/2006/relationships" name="Base Monthly" sheetId="5" r:id="R1c4a16aa71504211"/>
    <x:sheet xmlns:r="http://schemas.openxmlformats.org/officeDocument/2006/relationships" name="Stress Monthly" sheetId="6" r:id="R3f36c18bbfbd474e"/>
  </x:sheets>
</x:workbook>
</file>

<file path=xl/comments1.xml><?xml version="1.0" encoding="utf-8"?>
<x:comments xmlns:x="http://schemas.openxmlformats.org/spreadsheetml/2006/main">
  <x:authors>
    <x:author>Claude</x:author>
  </x:authors>
  <x:commentList>
    <x:comment ref="F21" authorId="0">
      <x:text>
        <x:r>
          <x:t>Было: 0
Стало: =Inputs!$B$23</x:t>
        </x:r>
      </x:text>
    </x:comment>
    <x:comment ref="G21" authorId="0">
      <x:text>
        <x:r>
          <x:t>Было: =Inputs!$B$23
Стало: 0</x:t>
        </x:r>
      </x:text>
    </x:comment>
    <x:comment ref="I21" authorId="0">
      <x:text>
        <x:r>
          <x:t>Было: 0
Стало: =Inputs!$B$24</x:t>
        </x:r>
      </x:text>
    </x:comment>
    <x:comment ref="J21" authorId="0">
      <x:text>
        <x:r>
          <x:t>Было: =Inputs!$B$24
Стало: 0</x:t>
        </x:r>
      </x:text>
    </x:comment>
    <x:comment ref="D51" authorId="0">
      <x:text>
        <x:r>
          <x:t>Было: =Inputs!$B$19
Стало: 0</x:t>
        </x:r>
      </x:text>
    </x:comment>
  </x:commentList>
</x:comments>
</file>

<file path=xl/comments2.xml><?xml version="1.0" encoding="utf-8"?>
<x:comments xmlns:x="http://schemas.openxmlformats.org/spreadsheetml/2006/main">
  <x:authors>
    <x:author>Claude</x:author>
  </x:authors>
  <x:commentList>
    <x:comment ref="F21" authorId="0">
      <x:text>
        <x:r>
          <x:t>Было: 0
Стало: =Inputs!$B$23</x:t>
        </x:r>
      </x:text>
    </x:comment>
    <x:comment ref="G21" authorId="0">
      <x:text>
        <x:r>
          <x:t>Было: =Inputs!$B$23
Стало: 0</x:t>
        </x:r>
      </x:text>
    </x:comment>
    <x:comment ref="I21" authorId="0">
      <x:text>
        <x:r>
          <x:t>Было: 0
Стало: =Inputs!$B$24</x:t>
        </x:r>
      </x:text>
    </x:comment>
    <x:comment ref="J21" authorId="0">
      <x:text>
        <x:r>
          <x:t>Было: =Inputs!$B$24
Стало: 0</x:t>
        </x:r>
      </x:text>
    </x:comment>
    <x:comment ref="D51" authorId="0">
      <x:text>
        <x:r>
          <x:t>Было: =Inputs!$B$19
Стало: 0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<x:sst xmlns:x="http://schemas.openxmlformats.org/spreadsheetml/2006/main">
  <x:si>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Oristella stress development balance (USD)</x:t>
  </x:si>
  <x:si>
    <x:t xml:space="preserve">Downside: customer receipts -20% and cash operating expenditure +10%.</x:t>
  </x:si>
  <x:si>
    <x:t xml:space="preserve">Balance date</x:t>
  </x:si>
  <x:si>
    <x:t xml:space="preserve">31 Dec 2027</x:t>
  </x:si>
  <x:si>
    <x:t xml:space="preserve">31 Dec 2028</x:t>
  </x:si>
  <x:si>
    <x:t xml:space="preserve">Equipment acquired under the deployment budget</x:t>
  </x:si>
  <x:si>
    <x:t xml:space="preserve">Purchased software rights</x:t>
  </x:si>
  <x:si>
    <x:t xml:space="preserve">Software developed during the forecast</x:t>
  </x:si>
  <x:si>
    <x:t xml:space="preserve">Cash and cash equivalents</x:t>
  </x:si>
  <x:si>
    <x:t xml:space="preserve">Funding obligations and project capital</x:t>
  </x:si>
  <x:si>
    <x:t xml:space="preserve">Investor financing pending agreed instrument</x:t>
  </x:si>
  <x:si>
    <x:t xml:space="preserve">Income tax payable</x:t>
  </x:si>
  <x:si>
    <x:t xml:space="preserve">Total obligations and provisional financing</x:t>
  </x:si>
  <x:si>
    <x:t xml:space="preserve">Accumulated retained results</x:t>
  </x:si>
  <x:si>
    <x:t xml:space="preserve">Balance difference (must be zero)</x:t>
  </x:si>
  <x:si>
    <x:t xml:space="preserve">Performance for the reporting period</x:t>
  </x:si>
  <x:si>
    <x:t xml:space="preserve">Customer sales and cash receipts</x:t>
  </x:si>
  <x:si>
    <x:t xml:space="preserve">Free cash flow before financing</x:t>
  </x:si>
  <x:si>
    <x:t xml:space="preserve">Minimum monthly cash in period</x:t>
  </x:si>
  <x:si>
    <x:t xml:space="preserve">Requested investor cash funding</x:t>
  </x:si>
  <x:si>
    <x:t xml:space="preserve">Additional financing requested</x:t>
  </x:si>
  <x:si>
    <x:t xml:space="preserve">Distributions</x:t>
  </x:si>
  <x:si>
    <x:t xml:space="preserve">Net cash from operating activities</x:t>
  </x:si>
  <x:si>
    <x:t xml:space="preserve">Basis of the management presentation</x:t>
  </x:si>
  <x:si>
    <x:t xml:space="preserve">Additional equipment and software purchases remain $159,000 and must be reconciled against the supplied inventory. Prepared people and internal orders are not separately capitalised.</x:t>
  </x:si>
  <x:si>
    <x:t xml:space="preserve">The $50,000 cash buffer is a reference, not a binding minimum. No additional funding or reserve replenishment is requested. Timing of subscriptions and customer receipts follows the stated schedule.</x:t>
  </x:si>
  <x:si>
    <x:t xml:space="preserve">November-December 2027: revenue held at the October 2027 level; 2028: +10% at the start of each quarter, constant within the quarter</x:t>
  </x:si>
  <x:si>
    <x:t xml:space="preserve">Revenue by stream, first twelve months (November 2026 - October 2027)</x:t>
  </x:si>
  <x:si>
    <x:t xml:space="preserve">USD</x:t>
  </x:si>
  <x:si>
    <x:t xml:space="preserve">Initial geological models and trials</x:t>
  </x:si>
  <x:si>
    <x:t xml:space="preserve">Geological model updates</x:t>
  </x:si>
  <x:si>
    <x:t xml:space="preserve">Financial management packages</x:t>
  </x:si>
  <x:si>
    <x:t xml:space="preserve">Mapping services</x:t>
  </x:si>
  <x:si>
    <x:t xml:space="preserve">Operational packages</x:t>
  </x:si>
  <x:si>
    <x:t xml:space="preserve">Project services (feasibility study packages, surveys)</x:t>
  </x:si>
  <x:si>
    <x:t xml:space="preserve">Total</x:t>
  </x:si>
  <x:si>
    <x:t xml:space="preserve">Monthly model, months 1-12</x:t>
  </x:si>
  <x:si>
    <x:t xml:space="preserve">Check (must be zero)</x:t>
  </x:si>
  <x:si>
    <x:t xml:space="preserve">Oristella stress cash flow (USD)</x:t>
  </x:si>
  <x:si>
    <x:t xml:space="preserve">Cash flow for the period</x:t>
  </x:si>
  <x:si>
    <x:t xml:space="preserve">Nov 2026-Dec 2027</x:t>
  </x:si>
  <x:si>
    <x:t xml:space="preserve">Jan-Dec 2028</x:t>
  </x:si>
  <x:si>
    <x:t xml:space="preserve">Opening cash</x:t>
  </x:si>
  <x:si>
    <x:t xml:space="preserve">Customer cash receipts</x:t>
  </x:si>
  <x:si>
    <x:t xml:space="preserve">Cash operating expenditure</x:t>
  </x:si>
  <x:si>
    <x:t xml:space="preserve">Development costs classified as investment</x:t>
  </x:si>
  <x:si>
    <x:t xml:space="preserve">Income tax paid</x:t>
  </x:si>
  <x:si>
    <x:t xml:space="preserve">Equipment purchases</x:t>
  </x:si>
  <x:si>
    <x:t xml:space="preserve">Capitalised development expenditure</x:t>
  </x:si>
  <x:si>
    <x:t xml:space="preserve">Net cash used in investing activities</x:t>
  </x:si>
  <x:si>
    <x:t xml:space="preserve">Investor financing received</x:t>
  </x:si>
  <x:si>
    <x:t xml:space="preserve">Founder cash contribution</x:t>
  </x:si>
  <x:si>
    <x:t xml:space="preserve">Financing repayments and distributions</x:t>
  </x:si>
  <x:si>
    <x:t xml:space="preserve">Net cash from financing activities</x:t>
  </x:si>
  <x:si>
    <x:t xml:space="preserve">Net change in cash</x:t>
  </x:si>
  <x:si>
    <x:t xml:space="preserve">Closing cash</x:t>
  </x:si>
  <x:si>
    <x:t xml:space="preserve">Cash difference against balance (must be zero)</x:t>
  </x:si>
  <x:si>
    <x:t xml:space="preserve">Minimum monthly closing cash</x:t>
  </x:si>
  <x:si>
    <x:t xml:space="preserve">Cash is retained. The founder contribution of $460,000 is non-cash and is excluded from receipts.</x:t>
  </x:si>
  <x:si>
    <x:t xml:space="preserve">The first reporting period contains 14 months; the second contains 12 months. No new franchise or token revenue is assumed.</x:t>
  </x:si>
  <x:si>
    <x:t xml:space="preserve">Oristella development project assumptions</x:t>
  </x:si>
  <x:si>
    <x:t xml:space="preserve">Assumption</x:t>
  </x:si>
  <x:si>
    <x:t xml:space="preserve">Value</x:t>
  </x:si>
  <x:si>
    <x:t xml:space="preserve">Source</x:t>
  </x:si>
  <x:si>
    <x:t xml:space="preserve">Revenue growth at the start of each quarter in 2028</x:t>
  </x:si>
  <x:si>
    <x:t xml:space="preserve">Revenue growth November-December 2027</x:t>
  </x:si>
  <x:si>
    <x:t xml:space="preserve">Held at the exit rate of months 10-12</x:t>
  </x:si>
  <x:si>
    <x:t xml:space="preserve">Operating expenses from November 2027</x:t>
  </x:si>
  <x:si>
    <x:t xml:space="preserve">Exit revenue base: month 12 (October 2027)</x:t>
  </x:si>
  <x:si>
    <x:t xml:space="preserve">Revenue held at the October 2027 level in November-December 2027, so no month falls below the previous one</x:t>
  </x:si>
  <x:si>
    <x:t xml:space="preserve">Corporate tax rate, United Arab Emirates (Dubai)</x:t>
  </x:si>
  <x:si>
    <x:t xml:space="preserve">Annual depreciation and amortisation rate (straight line, 5 years)</x:t>
  </x:si>
  <x:si>
    <x:t xml:space="preserve">Approved cash distributions (USD)</x:t>
  </x:si>
  <x:si>
    <x:t xml:space="preserve">No repayment or distribution is assumed. Cash remains available for operations and development.</x:t>
  </x:si>
  <x:si>
    <x:t xml:space="preserve">Share of development team costs capitalised as software development</x:t>
  </x:si>
  <x:si>
    <x:t xml:space="preserve">Taxable income taxed at 0 % (AED 375,000 at 3.6725 per US dollar)</x:t>
  </x:si>
  <x:si>
    <x:t xml:space="preserve">Cabinet Decision on the taxable income threshold</x:t>
  </x:si>
  <x:si>
    <x:t xml:space="preserve">MODEL VARIANT (enter 1 or 2)</x:t>
  </x:si>
  <x:si>
    <x:t xml:space="preserve">Share capitalised in financial year 1 (November 2026 - December 2027)</x:t>
  </x:si>
  <x:si>
    <x:t xml:space="preserve">Variant 1: 0 %; variant 2: same as 2028</x:t>
  </x:si>
  <x:si>
    <x:t xml:space="preserve">Base customer receipt factor</x:t>
  </x:si>
  <x:si>
    <x:t xml:space="preserve">Base sales collected in the month. Stress receipts and sales are reduced together, with no additional receivable.</x:t>
  </x:si>
  <x:si>
    <x:t xml:space="preserve">Reference liquidity buffer</x:t>
  </x:si>
  <x:si>
    <x:t xml:space="preserve">Reference only. No additional funding or reserve replenishment is requested.</x:t>
  </x:si>
  <x:si>
    <x:t xml:space="preserve">Investor terms</x:t>
  </x:si>
  <x:si>
    <x:t xml:space="preserve">To be agreed</x:t>
  </x:si>
  <x:si>
    <x:t xml:space="preserve">Financing shown separately pending fund agreement. No fixed ownership, maturity, repayment or distributions.</x:t>
  </x:si>
  <x:si>
    <x:t xml:space="preserve">Stress reduction in revenue and customer receipts</x:t>
  </x:si>
  <x:si>
    <x:t xml:space="preserve">Stress uplift in cash operating expenditure</x:t>
  </x:si>
  <x:si>
    <x:t xml:space="preserve">All monthly cash operating costs increase by 10%. Extra costs are expensed; capitalised development and fixed asset purchases are unchanged.</x:t>
  </x:si>
  <x:si>
    <x:t xml:space="preserve">First subscription - November 2026</x:t>
  </x:si>
  <x:si>
    <x:t xml:space="preserve">Rounded funding request of $460,000; final tranche increased to $50,000.</x:t>
  </x:si>
  <x:si>
    <x:t xml:space="preserve">Total requested cash financing</x:t>
  </x:si>
  <x:si>
    <x:t xml:space="preserve">Same amount in both cases. No additional financing.</x:t>
  </x:si>
  <x:si>
    <x:t xml:space="preserve">Dubai company formation</x:t>
  </x:si>
  <x:si>
    <x:t xml:space="preserve">Already paid</x:t>
  </x:si>
  <x:si>
    <x:t xml:space="preserve">Prepared team and internal orders</x:t>
  </x:si>
  <x:si>
    <x:t xml:space="preserve">Operating readiness</x:t>
  </x:si>
  <x:si>
    <x:t xml:space="preserve">Prior salaried development and the prepared team support readiness. People are not booked as property. Internal orders are not added to the contribution value; sales are recognised in the existing operating forecast.</x:t>
  </x:si>
  <x:si>
    <x:t xml:space="preserve">Incremental purchases</x:t>
  </x:si>
  <x:si>
    <x:t xml:space="preserve">Existing forecast retains $90,000 equipment and $69,000 software purchases, additional to the provided base. Reconcile inventory before procurement to prevent overlap.</x:t>
  </x:si>
  <x:si>
    <x:t xml:space="preserve">Management project balance</x:t>
  </x:si>
  <x:si>
    <x:t xml:space="preserve">Expert assessment of first two external assignments</x:t>
  </x:si>
  <x:si>
    <x:t xml:space="preserve">Included in initial delivery</x:t>
  </x:si>
  <x:si>
    <x:t xml:space="preserve">No separate assessment fee. Internal assessment uses the existing delivery and development cost budgets. Future automation savings are not added to either forecast; any external specialist work outside these budgets is separately contracted.</x:t>
  </x:si>
  <x:si>
    <x:t xml:space="preserve">Oristella base monthly development forecast (USD)</x:t>
  </x:si>
  <x:si>
    <x:t xml:space="preserve">Base forecast. Founder resources are non-cash. No distributions or scheduled financing repayment.</x:t>
  </x:si>
  <x:si>
    <x:t xml:space="preserve">Project month</x:t>
  </x:si>
  <x:si>
    <x:t xml:space="preserve">Month</x:t>
  </x:si>
  <x:si>
    <x:t xml:space="preserve">Nov 2026</x:t>
  </x:si>
  <x:si>
    <x:t xml:space="preserve">Dec 2026</x:t>
  </x:si>
  <x:si>
    <x:t xml:space="preserve">Jan 2027</x:t>
  </x:si>
  <x:si>
    <x:t xml:space="preserve">Feb 2027</x:t>
  </x:si>
  <x:si>
    <x:t xml:space="preserve">Mar 2027</x:t>
  </x:si>
  <x:si>
    <x:t xml:space="preserve">Apr 2027</x:t>
  </x:si>
  <x:si>
    <x:t xml:space="preserve">May 2027</x:t>
  </x:si>
  <x:si>
    <x:t xml:space="preserve">Jun 2027</x:t>
  </x:si>
  <x:si>
    <x:t xml:space="preserve">Jul 2027</x:t>
  </x:si>
  <x:si>
    <x:t xml:space="preserve">Aug 2027</x:t>
  </x:si>
  <x:si>
    <x:t xml:space="preserve">Sep 2027</x:t>
  </x:si>
  <x:si>
    <x:t xml:space="preserve">Oct 2027</x:t>
  </x:si>
  <x:si>
    <x:t xml:space="preserve">Nov 2027</x:t>
  </x:si>
  <x:si>
    <x:t xml:space="preserve">Dec 2027</x:t>
  </x:si>
  <x:si>
    <x:t xml:space="preserve">Jan 2028</x:t>
  </x:si>
  <x:si>
    <x:t xml:space="preserve">Feb 2028</x:t>
  </x:si>
  <x:si>
    <x:t xml:space="preserve">Mar 2028</x:t>
  </x:si>
  <x:si>
    <x:t xml:space="preserve">Apr 2028</x:t>
  </x:si>
  <x:si>
    <x:t xml:space="preserve">May 2028</x:t>
  </x:si>
  <x:si>
    <x:t xml:space="preserve">Jun 2028</x:t>
  </x:si>
  <x:si>
    <x:t xml:space="preserve">Jul 2028</x:t>
  </x:si>
  <x:si>
    <x:t xml:space="preserve">Aug 2028</x:t>
  </x:si>
  <x:si>
    <x:t xml:space="preserve">Sep 2028</x:t>
  </x:si>
  <x:si>
    <x:t xml:space="preserve">Oct 2028</x:t>
  </x:si>
  <x:si>
    <x:t xml:space="preserve">Nov 2028</x:t>
  </x:si>
  <x:si>
    <x:t xml:space="preserve">Dec 2028</x:t>
  </x:si>
  <x:si>
    <x:t xml:space="preserve">Revenue (received in cash in the month)</x:t>
  </x:si>
  <x:si>
    <x:t xml:space="preserve">Operating expenses (staff, suppliers, services)</x:t>
  </x:si>
  <x:si>
    <x:t xml:space="preserve">Additions - property, plant and equipment</x:t>
  </x:si>
  <x:si>
    <x:t xml:space="preserve">Additions - purchased software rights</x:t>
  </x:si>
  <x:si>
    <x:t xml:space="preserve">Property, plant and equipment - cost, cumulative</x:t>
  </x:si>
  <x:si>
    <x:t xml:space="preserve">Software rights - cost, cumulative</x:t>
  </x:si>
  <x:si>
    <x:t xml:space="preserve">Depreciation - property, plant and equipment</x:t>
  </x:si>
  <x:si>
    <x:t xml:space="preserve">Amortisation - software rights</x:t>
  </x:si>
  <x:si>
    <x:t xml:space="preserve">Accumulated depreciation, cumulative</x:t>
  </x:si>
  <x:si>
    <x:t xml:space="preserve">Accumulated amortisation, cumulative</x:t>
  </x:si>
  <x:si>
    <x:t xml:space="preserve">Property, plant and equipment - carrying amount</x:t>
  </x:si>
  <x:si>
    <x:t xml:space="preserve">Software rights - carrying amount</x:t>
  </x:si>
  <x:si>
    <x:t xml:space="preserve">Profit before tax</x:t>
  </x:si>
  <x:si>
    <x:t xml:space="preserve">Income tax expense</x:t>
  </x:si>
  <x:si>
    <x:t xml:space="preserve">Profit for the period</x:t>
  </x:si>
  <x:si>
    <x:t xml:space="preserve">Scheduled repayments (none)</x:t>
  </x:si>
  <x:si>
    <x:t xml:space="preserve">Investor financing pending final terms</x:t>
  </x:si>
  <x:si>
    <x:t xml:space="preserve">Income tax payable - balance</x:t>
  </x:si>
  <x:si>
    <x:t xml:space="preserve">Approved cash distributions - total</x:t>
  </x:si>
  <x:si>
    <x:t xml:space="preserve">Retained earnings - balance</x:t>
  </x:si>
  <x:si>
    <x:t xml:space="preserve">Tax and provisional investor financing</x:t>
  </x:si>
  <x:si>
    <x:t xml:space="preserve">Balance check (assets − liabilities − equity)</x:t>
  </x:si>
  <x:si>
    <x:t xml:space="preserve">Development costs capitalised (intangible assets)</x:t>
  </x:si>
  <x:si>
    <x:t xml:space="preserve">Software developed in-house - cost, cumulative</x:t>
  </x:si>
  <x:si>
    <x:t xml:space="preserve">Amortisation - software developed in-house</x:t>
  </x:si>
  <x:si>
    <x:t xml:space="preserve">Accumulated amortisation in-house, cumulative</x:t>
  </x:si>
  <x:si>
    <x:t xml:space="preserve">Software developed in-house - carrying amount</x:t>
  </x:si>
  <x:si>
    <x:t xml:space="preserve">Founder cash receipts (none)</x:t>
  </x:si>
  <x:si>
    <x:t xml:space="preserve">Founder cash capital (none)</x:t>
  </x:si>
  <x:si>
    <x:t xml:space="preserve">Approved aggregate holder distributions</x:t>
  </x:si>
  <x:si>
    <x:t xml:space="preserve">Other holder payments (none scheduled)</x:t>
  </x:si>
  <x:si>
    <x:t xml:space="preserve">Development team costs (lead, specialists, developers, with employer costs)</x:t>
  </x:si>
  <x:si>
    <x:t xml:space="preserve">Free cash flow before financing and distributions</x:t>
  </x:si>
  <x:si>
    <x:t xml:space="preserve">Cumulative free cash flow since November 2026</x:t>
  </x:si>
  <x:si>
    <x:t xml:space="preserve">Cash above unpaid income tax and planning reserve</x:t>
  </x:si>
  <x:si>
    <x:t xml:space="preserve">Oristella stress monthly development forecast (USD)</x:t>
  </x:si>
  <x:si>
    <x:t xml:space="preserve">Stress forecast. Revenue and receipts -20%; cash operating costs +10%; same funding.</x:t>
  </x:si>
</x:sst>
</file>

<file path=xl/styles.xml><?xml version="1.0" encoding="utf-8"?>
<x:styleSheet xmlns:x="http://schemas.openxmlformats.org/spreadsheetml/2006/main">
  <x:numFmts count="2">
    <x:numFmt numFmtId="164" formatCode="#,##0;\(#,##0\);&quot;-&quot;"/>
    <x:numFmt numFmtId="165" formatCode="0.0%"/>
  </x:numFmts>
  <x:fonts count="20">
    <x:font>
      <x:sz val="11"/>
      <x:name val="Carlito"/>
    </x:font>
    <x:font>
      <x:sz val="10"/>
      <x:name val="Arial"/>
    </x:font>
    <x:font>
      <x:b/>
      <x:sz val="14"/>
      <x:name val="Arial"/>
    </x:font>
    <x:font>
      <x:sz val="10"/>
      <x:color rgb="FFFFFFFF"/>
      <x:name val="Arial"/>
    </x:font>
    <x:font>
      <x:b/>
      <x:sz val="10"/>
      <x:name val="Arial"/>
    </x:font>
    <x:font>
      <x:sz val="10"/>
      <x:color rgb="FF176B38"/>
      <x:name val="Arial"/>
    </x:font>
    <x:font>
      <x:b/>
      <x:sz val="10"/>
      <x:color rgb="FF176B38"/>
      <x:name val="Arial"/>
    </x:font>
    <x:font>
      <x:sz val="11"/>
      <x:color rgb="FF202020"/>
      <x:name val="Arial"/>
    </x:font>
    <x:font>
      <x:b/>
      <x:sz val="16"/>
      <x:color rgb="FF202020"/>
      <x:name val="Arial"/>
    </x:font>
    <x:font>
      <x:sz val="11"/>
      <x:color rgb="FF176B38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  <x:font>
      <x:sz val="10"/>
      <x:color rgb="FF0000FF"/>
      <x:name val="Arial"/>
    </x:font>
    <x:font>
      <x:sz val="11"/>
      <x:color rgb="FF00A651"/>
      <x:name val="Carlito"/>
    </x:font>
    <x:font>
      <x:b/>
      <x:sz val="11"/>
      <x:color rgb="FF00A651"/>
      <x:name val="Carlito"/>
    </x:font>
    <x:font>
      <x:sz val="11"/>
      <x:color rgb="FFE00000"/>
      <x:name val="Carlito"/>
    </x:font>
    <x:font>
      <x:b/>
      <x:sz val="10"/>
      <x:color rgb="FF202020"/>
      <x:name val="Arial"/>
    </x:font>
    <x:font>
      <x:b/>
      <x:sz val="11"/>
      <x:color rgb="FF202020"/>
      <x:name val="Carlito"/>
    </x:font>
    <x:font>
      <x:sz val="11"/>
      <x:color rgb="FF20202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DF3F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C6EF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Font="1"/>
    <x:xf numFmtId="164" fontId="1" fillId="0" borderId="0" xfId="0" applyNumberFormat="1" applyFont="1"/>
    <x:xf numFmtId="0" fontId="2" fillId="0" borderId="0" xfId="0" applyFont="1"/>
    <x:xf numFmtId="0" fontId="3" fillId="2" borderId="0" xfId="0" applyFont="1" applyFill="1"/>
    <x:xf numFmtId="0" fontId="1" fillId="0" borderId="0" xfId="0" applyFont="1" applyAlignment="1">
      <x:alignment wrapText="1"/>
    </x:xf>
    <x:xf numFmtId="0" fontId="4" fillId="3" borderId="0" xfId="0" applyFont="1" applyFill="1" applyAlignment="1">
      <x:alignment wrapText="1"/>
    </x:xf>
    <x:xf numFmtId="0" fontId="4" fillId="3" borderId="0" xfId="0" applyFont="1" applyFill="1"/>
    <x:xf numFmtId="164" fontId="4" fillId="3" borderId="0" xfId="0" applyNumberFormat="1" applyFont="1" applyFill="1"/>
    <x:xf numFmtId="0" fontId="5" fillId="0" borderId="0" xfId="0" applyFont="1"/>
    <x:xf numFmtId="0" fontId="5" fillId="0" borderId="0" xfId="0" applyFont="1" applyAlignment="1">
      <x:alignment wrapText="1"/>
    </x:xf>
    <x:xf numFmtId="164" fontId="5" fillId="0" borderId="0" xfId="0" applyNumberFormat="1" applyFont="1"/>
    <x:xf numFmtId="0" fontId="6" fillId="3" borderId="0" xfId="0" applyFont="1" applyFill="1" applyAlignment="1">
      <x:alignment wrapText="1"/>
    </x:xf>
    <x:xf numFmtId="0" fontId="6" fillId="3" borderId="0" xfId="0" applyFont="1" applyFill="1"/>
    <x:xf numFmtId="164" fontId="6" fillId="3" borderId="0" xfId="0" applyNumberFormat="1" applyFont="1" applyFill="1"/>
    <x:xf numFmtId="0" fontId="7" fillId="0" borderId="0" xfId="0" applyFont="1"/>
    <x:xf numFmtId="0" fontId="7" fillId="0" borderId="0" xfId="0" applyFont="1" applyAlignment="1">
      <x:alignment vertical="center" wrapText="1"/>
    </x:xf>
    <x:xf numFmtId="164" fontId="7" fillId="0" borderId="0" xfId="0" applyNumberFormat="1" applyFont="1" applyAlignment="1">
      <x:alignment vertical="center"/>
    </x:xf>
    <x:xf numFmtId="2" fontId="7" fillId="0" borderId="0" xfId="0" applyNumberFormat="1" applyFont="1" applyAlignment="1">
      <x:alignment vertical="center"/>
    </x:xf>
    <x:xf numFmtId="0" fontId="10" fillId="2" borderId="0" xfId="0" applyFont="1" applyFill="1" applyAlignment="1">
      <x:alignment vertical="center" wrapText="1"/>
    </x:xf>
    <x:xf numFmtId="0" fontId="10" fillId="2" borderId="0" xfId="0" applyFont="1" applyFill="1" applyAlignment="1">
      <x:alignment vertical="center"/>
    </x:xf>
    <x:xf numFmtId="164" fontId="10" fillId="2" borderId="0" xfId="0" applyNumberFormat="1" applyFont="1" applyFill="1" applyAlignment="1">
      <x:alignment vertical="center"/>
    </x:xf>
    <x:xf numFmtId="0" fontId="11" fillId="3" borderId="0" xfId="0" applyFont="1" applyFill="1" applyAlignment="1">
      <x:alignment vertical="center" wrapText="1"/>
    </x:xf>
    <x:xf numFmtId="164" fontId="11" fillId="3" borderId="0" xfId="0" applyNumberFormat="1" applyFont="1" applyFill="1" applyAlignment="1">
      <x:alignment vertical="center"/>
    </x:xf>
    <x:xf numFmtId="164" fontId="9" fillId="0" borderId="0" xfId="0" applyNumberFormat="1" applyFont="1" applyAlignment="1">
      <x:alignment vertical="center"/>
    </x:xf>
    <x:xf numFmtId="0" fontId="11" fillId="0" borderId="0" xfId="0" applyFont="1"/>
    <x:xf numFmtId="164" fontId="7" fillId="0" borderId="0" xfId="0" applyNumberFormat="1" applyFont="1"/>
    <x:xf numFmtId="0" fontId="7" fillId="0" borderId="0" xfId="0" applyFont="1" applyAlignment="1">
      <x:alignment wrapText="1"/>
    </x:xf>
    <x:xf numFmtId="2" fontId="7" fillId="0" borderId="0" xfId="0" applyNumberFormat="1" applyFont="1"/>
    <x:xf numFmtId="0" fontId="10" fillId="2" borderId="0" xfId="0" applyFont="1" applyFill="1" applyAlignment="1">
      <x:alignment wrapText="1"/>
    </x:xf>
    <x:xf numFmtId="0" fontId="10" fillId="2" borderId="0" xfId="0" applyFont="1" applyFill="1"/>
    <x:xf numFmtId="0" fontId="11" fillId="3" borderId="0" xfId="0" applyFont="1" applyFill="1" applyAlignment="1">
      <x:alignment wrapText="1"/>
    </x:xf>
    <x:xf numFmtId="164" fontId="11" fillId="3" borderId="0" xfId="0" applyNumberFormat="1" applyFont="1" applyFill="1"/>
    <x:xf numFmtId="0" fontId="1" fillId="0" borderId="0" xfId="0" applyFont="1" applyAlignment="1">
      <x:alignment vertical="center" wrapText="1"/>
    </x:xf>
    <x:xf numFmtId="0" fontId="3" fillId="2" borderId="0" xfId="0" applyFont="1" applyFill="1" applyAlignment="1">
      <x:alignment vertical="center" wrapText="1"/>
    </x:xf>
    <x:xf numFmtId="165" fontId="13" fillId="0" borderId="0" xfId="0" applyNumberFormat="1" applyFont="1" applyAlignment="1">
      <x:alignment vertical="center" wrapText="1"/>
    </x:xf>
    <x:xf numFmtId="164" fontId="13" fillId="0" borderId="0" xfId="0" applyNumberFormat="1" applyFont="1" applyAlignment="1">
      <x:alignment vertical="center" wrapText="1"/>
    </x:xf>
    <x:xf numFmtId="0" fontId="13" fillId="0" borderId="0" xfId="0" applyFont="1" applyAlignment="1">
      <x:alignment vertical="center" wrapText="1"/>
    </x:xf>
    <x:xf numFmtId="164" fontId="13" fillId="4" borderId="0" xfId="0" applyNumberFormat="1" applyFont="1" applyFill="1" applyAlignment="1">
      <x:alignment vertical="center" wrapText="1"/>
    </x:xf>
    <x:xf numFmtId="165" fontId="13" fillId="4" borderId="0" xfId="0" applyNumberFormat="1" applyFont="1" applyFill="1" applyAlignment="1">
      <x:alignment vertical="center" wrapText="1"/>
    </x:xf>
    <x:xf numFmtId="3" fontId="13" fillId="0" borderId="0" xfId="0" applyNumberFormat="1" applyFont="1" applyAlignment="1">
      <x:alignment vertical="center" wrapText="1"/>
    </x:xf>
    <x:xf numFmtId="0" fontId="13" fillId="0" borderId="0" xfId="0" applyFont="1" applyAlignment="1">
      <x:alignment wrapText="1"/>
    </x:xf>
    <x:xf numFmtId="0" fontId="9" fillId="5" borderId="0" xfId="0" applyFont="1" applyFill="1" applyAlignment="1">
      <x:alignment vertical="center" wrapText="1"/>
    </x:xf>
    <x:xf numFmtId="0" fontId="11" fillId="5" borderId="0" xfId="0" applyFont="1" applyFill="1" applyAlignment="1">
      <x:alignment vertical="center" wrapText="1"/>
    </x:xf>
    <x:xf numFmtId="0" fontId="15" fillId="0" borderId="0" xfId="0" applyFont="1"/>
    <x:xf numFmtId="0" fontId="14" fillId="0" borderId="0" xfId="0" applyFont="1"/>
    <x:xf numFmtId="3" fontId="14" fillId="0" borderId="0" xfId="0" applyNumberFormat="1" applyFont="1"/>
    <x:xf numFmtId="3" fontId="15" fillId="0" borderId="0" xfId="0" applyNumberFormat="1" applyFont="1"/>
    <x:xf numFmtId="0" fontId="1" fillId="5" borderId="0" xfId="0" applyFont="1" applyFill="1" applyAlignment="1">
      <x:alignment vertical="center" wrapText="1"/>
    </x:xf>
    <x:xf numFmtId="0" fontId="13" fillId="5" borderId="0" xfId="0" applyFont="1" applyFill="1" applyAlignment="1">
      <x:alignment vertical="center" wrapText="1"/>
    </x:xf>
    <x:xf numFmtId="164" fontId="1" fillId="6" borderId="0" xfId="0" applyNumberFormat="1" applyFont="1" applyFill="1"/>
    <x:xf numFmtId="164" fontId="5" fillId="6" borderId="0" xfId="0" applyNumberFormat="1" applyFont="1" applyFill="1"/>
    <x:xf numFmtId="0" fontId="12" fillId="0" borderId="0" xfId="0" applyFont="1" applyAlignment="1">
      <x:alignment wrapText="1"/>
    </x:xf>
    <x:xf numFmtId="0" fontId="0" fillId="0" borderId="0" xfId="0"/>
    <x:xf numFmtId="0" fontId="9" fillId="0" borderId="0" xfId="0" applyFont="1"/>
    <x:xf numFmtId="0" fontId="12" fillId="5" borderId="0" xfId="0" applyFont="1" applyFill="1" applyAlignment="1">
      <x:alignment wrapText="1"/>
    </x:xf>
    <x:xf numFmtId="0" fontId="8" fillId="0" borderId="0" xfId="0" applyFont="1"/>
    <x:xf numFmtId="0" fontId="7" fillId="5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wrapText="1"/>
    </x:xf>
    <x:xf numFmtId="0" fontId="17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18" fillId="0" borderId="0" xfId="0" applyNumberFormat="1" applyFont="1" applyFill="1" applyBorder="1"/>
    <x:xf numFmtId="0" fontId="19" fillId="0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/>
    </x:xf>
    <x:xf numFmtId="3" fontId="19" fillId="0" borderId="0" xfId="0" applyNumberFormat="1" applyFont="1" applyFill="1" applyBorder="1"/>
    <x:xf numFmtId="3" fontId="18" fillId="0" borderId="0" xfId="0" applyNumberFormat="1" applyFont="1" applyFill="1" applyBorder="1"/>
    <x:xf numFmtId="0" fontId="1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48d1a815d4871" /><Relationship Type="http://schemas.openxmlformats.org/officeDocument/2006/relationships/theme" Target="/xl/theme/theme1.xml" Id="R1a80dc3437ac4ce5" /><Relationship Type="http://schemas.openxmlformats.org/officeDocument/2006/relationships/sharedStrings" Target="/xl/sharedStrings.xml" Id="R7bd5e0f087844f65" /><Relationship Type="http://schemas.openxmlformats.org/officeDocument/2006/relationships/worksheet" Target="/xl/worksheets/sheet1.xml" Id="Re6d7c9b587494142" /><Relationship Type="http://schemas.openxmlformats.org/officeDocument/2006/relationships/worksheet" Target="/xl/worksheets/sheet2.xml" Id="Rc1ab0720cb524c42" /><Relationship Type="http://schemas.openxmlformats.org/officeDocument/2006/relationships/worksheet" Target="/xl/worksheets/sheet3.xml" Id="R194dbbacd53244b7" /><Relationship Type="http://schemas.openxmlformats.org/officeDocument/2006/relationships/worksheet" Target="/xl/worksheets/sheet4.xml" Id="R86755a53936a4e54" /><Relationship Type="http://schemas.openxmlformats.org/officeDocument/2006/relationships/worksheet" Target="/xl/worksheets/sheet5.xml" Id="R1c4a16aa71504211" /><Relationship Type="http://schemas.openxmlformats.org/officeDocument/2006/relationships/worksheet" Target="/xl/worksheets/sheet6.xml" Id="R3f36c18bbfbd474e" /><Relationship Type="http://schemas.microsoft.com/office/2017/10/relationships/person" Target="/xl/persons/person.xml" Id="Rbd7d20b046944bd6" /></Relationships>
</file>

<file path=xl/persons/person.xml><?xml version="1.0" encoding="utf-8"?>
<xltc:personList xmlns:xltc="http://schemas.microsoft.com/office/spreadsheetml/2018/threadedcomments">
  <xltc:person displayName="Claude" id="{8326AB16-7E68-811A-D980-962675B34B0E}"/>
  <xltc:person displayName="Claude" id="{FC39D3B5-9197-B5A3-1F97-C685EFB65CE0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1.xml" Id="Rcb2c4f54ebd8491c" /><Relationship Type="http://schemas.openxmlformats.org/officeDocument/2006/relationships/vmlDrawing" Target="/xl/drawings/vmldrawing.vml" Id="R0dda4579e0e04ec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2.xml" Id="R0cf27836d0684f80" /><Relationship Type="http://schemas.openxmlformats.org/officeDocument/2006/relationships/vmlDrawing" Target="/xl/drawings/vmldrawing2.vml" Id="Rda29f1c251c54ff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3.800000190734863"/>
  <x:cols>
    <x:col min="1" max="1" width="64" customWidth="1"/>
    <x:col min="2" max="3" width="22" customWidth="1"/>
  </x:cols>
  <x:sheetData>
    <x:row r="2" ht="25.950000762939453" customHeight="1">
      <x:c r="A2" s="56" t="s">
        <x:v>0</x:v>
      </x:c>
      <x:c r="B2" s="53"/>
      <x:c r="C2" s="53"/>
    </x:row>
    <x:row r="3" ht="25.950000762939453" customHeight="1">
      <x:c r="A3" s="54" t="s">
        <x:v>1</x:v>
      </x:c>
      <x:c r="B3" s="53"/>
      <x:c r="C3" s="53"/>
    </x:row>
    <x:row r="4">
      <x:c r="A4" s="15"/>
      <x:c r="B4" s="15"/>
      <x:c r="C4" s="15"/>
    </x:row>
    <x:row r="5" ht="28.049999237060547" customHeight="1">
      <x:c r="A5" s="19" t="s">
        <x:v>2</x:v>
      </x:c>
      <x:c r="B5" s="20" t="s">
        <x:v>3</x:v>
      </x:c>
      <x:c r="C5" s="20" t="s">
        <x:v>4</x:v>
      </x:c>
    </x:row>
    <x:row r="6" ht="28.049999237060547" customHeight="1">
      <x:c r="A6" s="69" t="str">
        <x:v>Assets in the management forecast</x:v>
      </x:c>
      <x:c r="B6" s="70"/>
      <x:c r="C6" s="70"/>
    </x:row>
    <x:row r="7" ht="28.049999237060547" customHeight="1">
      <x:c r="A7" s="16" t="s">
        <x:v>5</x:v>
      </x:c>
      <x:c r="B7" s="17" t="n">
        <x:f>'Stress Monthly'!Q16</x:f>
        <x:v>72000</x:v>
      </x:c>
      <x:c r="C7" s="17" t="n">
        <x:f>'Stress Monthly'!AC16</x:f>
        <x:v>54000</x:v>
      </x:c>
    </x:row>
    <x:row r="8" ht="28.049999237060547" customHeight="1">
      <x:c r="A8" s="16" t="s">
        <x:v>6</x:v>
      </x:c>
      <x:c r="B8" s="17" t="n">
        <x:f>'Stress Monthly'!Q17</x:f>
        <x:v>55200</x:v>
      </x:c>
      <x:c r="C8" s="17" t="n">
        <x:f>'Stress Monthly'!AC17</x:f>
        <x:v>41400</x:v>
      </x:c>
    </x:row>
    <x:row r="9" ht="28.049999237060547" customHeight="1">
      <x:c r="A9" s="16" t="s">
        <x:v>7</x:v>
      </x:c>
      <x:c r="B9" s="17" t="n">
        <x:f>'Stress Monthly'!Q42</x:f>
        <x:v>245916</x:v>
      </x:c>
      <x:c r="C9" s="17" t="n">
        <x:f>'Stress Monthly'!AC42</x:f>
        <x:v>419175</x:v>
      </x:c>
    </x:row>
    <x:row r="10" ht="44" customHeight="1">
      <x:c r="A10" s="57" t="str">
        <x:v>Founder resources (memo value $460,000; excluded from totals)</x:v>
      </x:c>
      <x:c r="B10" s="24" t="n">
        <x:f>'Stress Monthly'!Q52</x:f>
        <x:v>0</x:v>
      </x:c>
      <x:c r="C10" s="24" t="n">
        <x:f>'Stress Monthly'!AC52</x:f>
        <x:v>0</x:v>
      </x:c>
    </x:row>
    <x:row r="11" ht="28.049999237060547" customHeight="1">
      <x:c r="A11" s="63" t="str">
        <x:v>Total non-current assets</x:v>
      </x:c>
      <x:c r="B11" s="23" t="n">
        <x:f>SUM(B7:B10)</x:f>
        <x:v>373116</x:v>
      </x:c>
      <x:c r="C11" s="23" t="n">
        <x:f>SUM(C7:C10)</x:f>
        <x:v>514575</x:v>
      </x:c>
    </x:row>
    <x:row r="12" ht="28.049999237060547" customHeight="1">
      <x:c r="A12" s="16"/>
      <x:c r="B12" s="17"/>
      <x:c r="C12" s="17"/>
    </x:row>
    <x:row r="13" ht="28.049999237060547" customHeight="1">
      <x:c r="A13" s="22" t="s">
        <x:v>8</x:v>
      </x:c>
      <x:c r="B13" s="23" t="n">
        <x:f>'Stress Monthly'!Q33</x:f>
        <x:v>236396.66666666663</x:v>
      </x:c>
      <x:c r="C13" s="23" t="n">
        <x:f>'Stress Monthly'!AC33</x:f>
        <x:v>1056979.2677857953</x:v>
      </x:c>
    </x:row>
    <x:row r="14" ht="28.049999237060547" customHeight="1">
      <x:c r="A14" s="63" t="str">
        <x:v>Total assets</x:v>
      </x:c>
      <x:c r="B14" s="23" t="n">
        <x:f>'Stress Monthly'!Q34</x:f>
        <x:v>609512.6666666666</x:v>
      </x:c>
      <x:c r="C14" s="23" t="n">
        <x:f>'Stress Monthly'!AC34</x:f>
        <x:v>1571554.2677857953</x:v>
      </x:c>
    </x:row>
    <x:row r="15" ht="28.049999237060547" customHeight="1">
      <x:c r="A15" s="16"/>
      <x:c r="B15" s="17"/>
      <x:c r="C15" s="17"/>
    </x:row>
    <x:row r="16" ht="28.049999237060547" customHeight="1">
      <x:c r="A16" s="19" t="s">
        <x:v>9</x:v>
      </x:c>
      <x:c r="B16" s="21"/>
      <x:c r="C16" s="21"/>
    </x:row>
    <x:row r="17" ht="28.049999237060547" customHeight="1">
      <x:c r="A17" s="16" t="s">
        <x:v>10</x:v>
      </x:c>
      <x:c r="B17" s="17" t="n">
        <x:f>'Stress Monthly'!Q23</x:f>
        <x:v>460000</x:v>
      </x:c>
      <x:c r="C17" s="17" t="n">
        <x:f>'Stress Monthly'!AC23</x:f>
        <x:v>460000</x:v>
      </x:c>
    </x:row>
    <x:row r="18" ht="28.049999237060547" customHeight="1">
      <x:c r="A18" s="16" t="s">
        <x:v>11</x:v>
      </x:c>
      <x:c r="B18" s="17" t="n">
        <x:f>'Stress Monthly'!Q25</x:f>
        <x:v>4266.214880871336</x:v>
      </x:c>
      <x:c r="C18" s="17" t="n">
        <x:f>'Stress Monthly'!AC25</x:f>
        <x:v>77777.77832087135</x:v>
      </x:c>
    </x:row>
    <x:row r="19" ht="28.049999237060547" customHeight="1">
      <x:c r="A19" s="22" t="s">
        <x:v>12</x:v>
      </x:c>
      <x:c r="B19" s="23" t="n">
        <x:f>SUM(B17:B18)</x:f>
        <x:v>464266.21488087135</x:v>
      </x:c>
      <x:c r="C19" s="23" t="n">
        <x:f>SUM(C17:C18)</x:f>
        <x:v>537777.7783208713</x:v>
      </x:c>
    </x:row>
    <x:row r="20" ht="28.049999237060547" customHeight="1">
      <x:c r="A20" s="16"/>
      <x:c r="B20" s="17"/>
      <x:c r="C20" s="17"/>
    </x:row>
    <x:row r="21" ht="28.049999237060547" customHeight="1">
      <x:c r="A21" s="57" t="str">
        <x:v>Founder resources recognised in this forecast</x:v>
      </x:c>
      <x:c r="B21" s="24" t="n">
        <x:f>'Stress Monthly'!Q52</x:f>
        <x:v>0</x:v>
      </x:c>
      <x:c r="C21" s="24" t="n">
        <x:f>'Stress Monthly'!AC52</x:f>
        <x:v>0</x:v>
      </x:c>
    </x:row>
    <x:row r="22" ht="28.049999237060547" customHeight="1">
      <x:c r="A22" s="16" t="s">
        <x:v>13</x:v>
      </x:c>
      <x:c r="B22" s="17" t="n">
        <x:f>'Stress Monthly'!Q27</x:f>
        <x:v>145246.45178579527</x:v>
      </x:c>
      <x:c r="C22" s="17" t="n">
        <x:f>'Stress Monthly'!AC27</x:f>
        <x:v>1033776.489464924</x:v>
      </x:c>
    </x:row>
    <x:row r="23" ht="28.049999237060547" customHeight="1">
      <x:c r="A23" s="63" t="str">
        <x:v>Accumulated capital and retained results</x:v>
      </x:c>
      <x:c r="B23" s="23" t="n">
        <x:f>'Stress Monthly'!Q36</x:f>
        <x:v>145246.45178579527</x:v>
      </x:c>
      <x:c r="C23" s="23" t="n">
        <x:f>'Stress Monthly'!AC36</x:f>
        <x:v>1033776.489464924</x:v>
      </x:c>
    </x:row>
    <x:row r="24" ht="28.049999237060547" customHeight="1">
      <x:c r="A24" s="63" t="str">
        <x:v>Total financing, liabilities and accumulated results</x:v>
      </x:c>
      <x:c r="B24" s="23" t="n">
        <x:f>SUM(B19,B23)</x:f>
        <x:v>609512.6666666666</x:v>
      </x:c>
      <x:c r="C24" s="23" t="n">
        <x:f>SUM(C19,C23)</x:f>
        <x:v>1571554.2677857953</x:v>
      </x:c>
    </x:row>
    <x:row r="25" ht="28.049999237060547" customHeight="1">
      <x:c r="A25" s="16" t="s">
        <x:v>14</x:v>
      </x:c>
      <x:c r="B25" s="18" t="n">
        <x:f>B14-B24</x:f>
        <x:v>0</x:v>
      </x:c>
      <x:c r="C25" s="18" t="n">
        <x:f>C14-C24</x:f>
        <x:v>0</x:v>
      </x:c>
    </x:row>
    <x:row r="26" ht="28.049999237060547" customHeight="1">
      <x:c r="A26" s="16"/>
      <x:c r="B26" s="17"/>
      <x:c r="C26" s="17"/>
    </x:row>
    <x:row r="27" ht="28.049999237060547" customHeight="1">
      <x:c r="A27" s="19" t="s">
        <x:v>15</x:v>
      </x:c>
      <x:c r="B27" s="21"/>
      <x:c r="C27" s="21"/>
    </x:row>
    <x:row r="28" ht="28.049999237060547" customHeight="1">
      <x:c r="A28" s="16" t="s">
        <x:v>16</x:v>
      </x:c>
      <x:c r="B28" s="17" t="n">
        <x:f>SUM('Stress Monthly'!D6:Q6)</x:f>
        <x:v>797760</x:v>
      </x:c>
      <x:c r="C28" s="17" t="n">
        <x:f>SUM('Stress Monthly'!R6:AC6)</x:f>
        <x:v>1634448.8160000006</x:v>
      </x:c>
    </x:row>
    <x:row r="29" ht="28.049999237060547" customHeight="1">
      <x:c r="A29" s="58" t="str">
        <x:v>Profit after tax</x:v>
      </x:c>
      <x:c r="B29" s="23" t="n">
        <x:f>SUM('Stress Monthly'!D20:Q20)</x:f>
        <x:v>145246.45178579527</x:v>
      </x:c>
      <x:c r="C29" s="23" t="n">
        <x:f>SUM('Stress Monthly'!R20:AC20)</x:f>
        <x:v>888530.0376791288</x:v>
      </x:c>
    </x:row>
    <x:row r="30" ht="28.049999237060547" customHeight="1">
      <x:c r="A30" s="22" t="s">
        <x:v>17</x:v>
      </x:c>
      <x:c r="B30" s="23" t="n">
        <x:f>SUM('Stress Monthly'!D48:Q48)</x:f>
        <x:v>-223603.33333333337</x:v>
      </x:c>
      <x:c r="C30" s="23" t="n">
        <x:f>SUM('Stress Monthly'!R48:AC48)</x:f>
        <x:v>820582.6011191288</x:v>
      </x:c>
    </x:row>
    <x:row r="31" ht="28.049999237060547" customHeight="1">
      <x:c r="A31" s="16" t="s">
        <x:v>18</x:v>
      </x:c>
      <x:c r="B31" s="17" t="n">
        <x:f>MIN('Stress Monthly'!D33:Q33)</x:f>
        <x:v>42330</x:v>
      </x:c>
      <x:c r="C31" s="17" t="n">
        <x:f>MIN('Stress Monthly'!R33:AC33)</x:f>
        <x:v>286321.99999999994</x:v>
      </x:c>
    </x:row>
    <x:row r="32" ht="28.049999237060547" customHeight="1">
      <x:c r="A32" s="16" t="s">
        <x:v>19</x:v>
      </x:c>
      <x:c r="B32" s="17" t="n">
        <x:f>Inputs!$B$25</x:f>
        <x:v>460000</x:v>
      </x:c>
      <x:c r="C32" s="17" t="n">
        <x:f>Inputs!$B$25</x:f>
        <x:v>460000</x:v>
      </x:c>
    </x:row>
    <x:row r="33" ht="28.049999237060547" customHeight="1">
      <x:c r="A33" s="16" t="s">
        <x:v>20</x:v>
      </x:c>
      <x:c r="B33" s="17" t="n">
        <x:f>0</x:f>
        <x:v>0</x:v>
      </x:c>
      <x:c r="C33" s="17" t="n">
        <x:f>0</x:f>
        <x:v>0</x:v>
      </x:c>
    </x:row>
    <x:row r="34" ht="28.049999237060547" customHeight="1">
      <x:c r="A34" s="16" t="s">
        <x:v>21</x:v>
      </x:c>
      <x:c r="B34" s="17" t="n">
        <x:f>-SUM('Stress Monthly'!D26:Q26)</x:f>
        <x:v>0</x:v>
      </x:c>
      <x:c r="C34" s="17" t="n">
        <x:f>-SUM('Stress Monthly'!R26:AC26)</x:f>
        <x:v>0</x:v>
      </x:c>
    </x:row>
    <x:row r="35" ht="28.049999237060547" customHeight="1">
      <x:c r="A35" s="15" t="s">
        <x:v>22</x:v>
      </x:c>
      <x:c r="B35" s="26" t="n">
        <x:f>SUM('Stress Monthly'!D28:Q28)</x:f>
        <x:v>186901.66666666663</x:v>
      </x:c>
      <x:c r="C35" s="26" t="n">
        <x:f>SUM('Stress Monthly'!R28:AC28)</x:f>
        <x:v>1044142.6011191288</x:v>
      </x:c>
    </x:row>
    <x:row r="36">
      <x:c r="A36" s="25" t="s">
        <x:v>23</x:v>
      </x:c>
      <x:c r="B36" s="15"/>
      <x:c r="C36" s="15"/>
    </x:row>
    <x:row r="37" ht="54" customHeight="1">
      <x:c r="A37" s="64" t="str">
        <x:v>FY1: November 2026-December 2027 (14 months). FY2: January-December 2028. Receipts are assumed in the month of sale.</x:v>
      </x:c>
      <x:c r="B37" s="53"/>
      <x:c r="C37" s="53"/>
    </x:row>
    <x:row r="38" ht="54" customHeight="1">
      <x:c r="A38" s="59" t="str">
        <x:v>Founder-provided resources have a management memo value of about $460,000. This forecast assumes no cash purchase or transfer of title and excludes that memo value from assets and equity.</x:v>
      </x:c>
      <x:c r="B38" s="53"/>
      <x:c r="C38" s="53"/>
    </x:row>
    <x:row r="39" ht="54" customHeight="1">
      <x:c r="A39" s="59" t="str">
        <x:v>Statutory recognition depends on the executed agreements. Software capitalisation and amortisation follow the stated planning assumptions, with eligibility and available-for-use dates supported by project records.</x:v>
      </x:c>
      <x:c r="B39" s="53"/>
      <x:c r="C39" s="53"/>
    </x:row>
    <x:row r="40" ht="46.04999923706055" customHeight="1">
      <x:c r="A40" s="52" t="s">
        <x:v>24</x:v>
      </x:c>
      <x:c r="B40" s="53"/>
      <x:c r="C40" s="53"/>
    </x:row>
    <x:row r="41" ht="46.04999923706055" customHeight="1">
      <x:c r="A41" s="52" t="s">
        <x:v>25</x:v>
      </x:c>
      <x:c r="B41" s="53"/>
      <x:c r="C41" s="53"/>
    </x:row>
  </x:sheetData>
  <x:mergeCells>
    <x:mergeCell ref="A2:C2"/>
    <x:mergeCell ref="A41:C41"/>
    <x:mergeCell ref="A37:C37"/>
    <x:mergeCell ref="A40:C40"/>
    <x:mergeCell ref="A3:C3"/>
    <x:mergeCell ref="A39:C39"/>
    <x:mergeCell ref="A38:C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A651"/>
  </x:sheetPr>
  <x:sheetFormatPr defaultRowHeight="13.800000190734863"/>
  <x:cols>
    <x:col min="1" max="1" width="95" customWidth="1"/>
    <x:col min="2" max="2" width="14" customWidth="1"/>
  </x:cols>
  <x:sheetData>
    <x:row r="1">
      <x:c r="A1" s="67" t="str">
        <x:v>Oristella revenue basis (USD)</x:v>
      </x:c>
      <x:c r="B1" s="67"/>
    </x:row>
    <x:row r="2">
      <x:c r="A2" s="68"/>
      <x:c r="B2" s="68"/>
    </x:row>
    <x:row r="3">
      <x:c r="A3" s="67" t="str">
        <x:v>Planned client schedule</x:v>
      </x:c>
      <x:c r="B3" s="67"/>
    </x:row>
    <x:row r="4" ht="42" customHeight="1">
      <x:c r="A4" s="73" t="str">
        <x:v>January 2027: two related-company clients (Farafina Resources SA, Lions Head Resources SA); forecast receipts on standard terms.</x:v>
      </x:c>
      <x:c r="B4" s="73"/>
    </x:row>
    <x:row r="5" ht="42" customHeight="1">
      <x:c r="A5" s="73" t="str">
        <x:v>April 2027: two external clients targeted after on-site equipment testing.</x:v>
      </x:c>
      <x:c r="B5" s="73"/>
    </x:row>
    <x:row r="6" ht="42" customHeight="1">
      <x:c r="A6" s="73" t="str">
        <x:v>May-December 2027: target one new client a month, reaching twelve clients at December 2027.</x:v>
      </x:c>
      <x:c r="B6" s="73"/>
    </x:row>
    <x:row r="7" ht="42" customHeight="1">
      <x:c r="A7" s="73" t="s">
        <x:v>26</x:v>
      </x:c>
      <x:c r="B7" s="73"/>
    </x:row>
    <x:row r="8">
      <x:c r="A8" s="68"/>
      <x:c r="B8" s="68"/>
    </x:row>
    <x:row r="9">
      <x:c r="A9" s="67" t="s">
        <x:v>27</x:v>
      </x:c>
      <x:c r="B9" s="67" t="s">
        <x:v>28</x:v>
      </x:c>
    </x:row>
    <x:row r="10">
      <x:c r="A10" s="68" t="s">
        <x:v>29</x:v>
      </x:c>
      <x:c r="B10" s="71">
        <x:v>180000</x:v>
      </x:c>
    </x:row>
    <x:row r="11">
      <x:c r="A11" s="68" t="s">
        <x:v>30</x:v>
      </x:c>
      <x:c r="B11" s="71">
        <x:v>261000</x:v>
      </x:c>
    </x:row>
    <x:row r="12">
      <x:c r="A12" s="68" t="s">
        <x:v>31</x:v>
      </x:c>
      <x:c r="B12" s="71">
        <x:v>78000</x:v>
      </x:c>
    </x:row>
    <x:row r="13">
      <x:c r="A13" s="68" t="s">
        <x:v>32</x:v>
      </x:c>
      <x:c r="B13" s="71">
        <x:v>52400</x:v>
      </x:c>
    </x:row>
    <x:row r="14">
      <x:c r="A14" s="68" t="s">
        <x:v>33</x:v>
      </x:c>
      <x:c r="B14" s="71">
        <x:v>72000</x:v>
      </x:c>
    </x:row>
    <x:row r="15">
      <x:c r="A15" s="68" t="s">
        <x:v>34</x:v>
      </x:c>
      <x:c r="B15" s="71">
        <x:v>87000</x:v>
      </x:c>
    </x:row>
    <x:row r="16">
      <x:c r="A16" s="67" t="s">
        <x:v>35</x:v>
      </x:c>
      <x:c r="B16" s="72" t="n">
        <x:f>SUM(B10:B15)</x:f>
        <x:v>730400</x:v>
      </x:c>
    </x:row>
    <x:row r="17">
      <x:c r="A17" s="68" t="s">
        <x:v>36</x:v>
      </x:c>
      <x:c r="B17" s="71" t="n">
        <x:f>SUM('Base Monthly'!D6:O6)</x:f>
        <x:v>730400</x:v>
      </x:c>
    </x:row>
    <x:row r="18">
      <x:c r="A18" s="68" t="s">
        <x:v>37</x:v>
      </x:c>
      <x:c r="B18" s="71" t="n">
        <x:f>B16-B17</x:f>
        <x:v>0</x:v>
      </x:c>
    </x:row>
    <x:row r="19">
      <x:c r="A19" s="68"/>
      <x:c r="B19" s="68"/>
    </x:row>
    <x:row r="20" ht="42" customHeight="1">
      <x:c r="A20" s="73" t="str">
        <x:v>Module tariffs: trial geological model $1,000; full model $5,000; standard update $300. Each contract defines scope and module composition.</x:v>
      </x:c>
      <x:c r="B20" s="73"/>
    </x:row>
    <x:row r="21" ht="80" customHeight="1">
      <x:c r="A21" s="73" t="str">
        <x:v>Source: management service-stream and monthly receipts forecast. The stream total reconciles to monthly receipts; the client schedule is a commercial target, not a quantity-times-tariff calculation.</x:v>
      </x:c>
      <x:c r="B21" s="73"/>
    </x:row>
  </x:sheetData>
  <x:mergeCells>
    <x:mergeCell ref="A4:B4"/>
    <x:mergeCell ref="A5:B5"/>
    <x:mergeCell ref="A6:B6"/>
    <x:mergeCell ref="A7:B7"/>
    <x:mergeCell ref="A20:B20"/>
    <x:mergeCell ref="A21:B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3.800000190734863"/>
  <x:cols>
    <x:col min="1" max="1" width="64" customWidth="1"/>
    <x:col min="2" max="3" width="23" customWidth="1"/>
  </x:cols>
  <x:sheetData>
    <x:row r="2" ht="28.049999237060547" customHeight="1">
      <x:c r="A2" s="56" t="s">
        <x:v>38</x:v>
      </x:c>
      <x:c r="B2" s="53"/>
      <x:c r="C2" s="53"/>
    </x:row>
    <x:row r="3" ht="28.049999237060547" customHeight="1">
      <x:c r="A3" s="66" t="str">
        <x:v>Stress case: revenue and receipts -20%, cash operating costs +10%.</x:v>
      </x:c>
      <x:c r="B3" s="53"/>
      <x:c r="C3" s="53"/>
    </x:row>
    <x:row r="4">
      <x:c r="A4" s="15"/>
      <x:c r="B4" s="15"/>
      <x:c r="C4" s="15"/>
    </x:row>
    <x:row r="5" ht="27" customHeight="1">
      <x:c r="A5" s="29" t="s">
        <x:v>39</x:v>
      </x:c>
      <x:c r="B5" s="30" t="s">
        <x:v>40</x:v>
      </x:c>
      <x:c r="C5" s="30" t="s">
        <x:v>41</x:v>
      </x:c>
    </x:row>
    <x:row r="6" ht="27" customHeight="1">
      <x:c r="A6" s="27" t="s">
        <x:v>42</x:v>
      </x:c>
      <x:c r="B6" s="26" t="n">
        <x:f>'Stress Monthly'!D32</x:f>
        <x:v>0</x:v>
      </x:c>
      <x:c r="C6" s="26" t="n">
        <x:f>'Stress Monthly'!R32</x:f>
        <x:v>236396.66666666663</x:v>
      </x:c>
    </x:row>
    <x:row r="7" ht="27" customHeight="1">
      <x:c r="A7" s="27"/>
      <x:c r="B7" s="26"/>
      <x:c r="C7" s="26"/>
    </x:row>
    <x:row r="8" ht="27" customHeight="1">
      <x:c r="A8" s="27" t="s">
        <x:v>43</x:v>
      </x:c>
      <x:c r="B8" s="26" t="n">
        <x:f>SUM('Stress Monthly'!D6:Q6)</x:f>
        <x:v>797760</x:v>
      </x:c>
      <x:c r="C8" s="26" t="n">
        <x:f>SUM('Stress Monthly'!R6:AC6)</x:f>
        <x:v>1634448.8160000006</x:v>
      </x:c>
    </x:row>
    <x:row r="9" ht="27" customHeight="1">
      <x:c r="A9" s="27" t="s">
        <x:v>44</x:v>
      </x:c>
      <x:c r="B9" s="26" t="n">
        <x:f>SUM('Stress Monthly'!D7:Q7)</x:f>
        <x:v>-862363.3333333333</x:v>
      </x:c>
      <x:c r="C9" s="26" t="n">
        <x:f>SUM('Stress Monthly'!R7:AC7)</x:f>
        <x:v>-809599.9999999999</x:v>
      </x:c>
    </x:row>
    <x:row r="10" ht="27" customHeight="1">
      <x:c r="A10" s="27" t="s">
        <x:v>45</x:v>
      </x:c>
      <x:c r="B10" s="26" t="n">
        <x:f>SUM('Stress Monthly'!D38:Q38)</x:f>
        <x:v>251505</x:v>
      </x:c>
      <x:c r="C10" s="26" t="n">
        <x:f>SUM('Stress Monthly'!R38:AC38)</x:f>
        <x:v>223560</x:v>
      </x:c>
    </x:row>
    <x:row r="11" ht="27" customHeight="1">
      <x:c r="A11" s="27" t="s">
        <x:v>46</x:v>
      </x:c>
      <x:c r="B11" s="26" t="n">
        <x:f>SUM('Stress Monthly'!D24:Q24)</x:f>
        <x:v>0</x:v>
      </x:c>
      <x:c r="C11" s="26" t="n">
        <x:f>SUM('Stress Monthly'!R24:AC24)</x:f>
        <x:v>-4266.214880871336</x:v>
      </x:c>
    </x:row>
    <x:row r="12" ht="27" customHeight="1">
      <x:c r="A12" s="31" t="s">
        <x:v>22</x:v>
      </x:c>
      <x:c r="B12" s="32" t="n">
        <x:f>SUM(B8:B11)</x:f>
        <x:v>186901.66666666674</x:v>
      </x:c>
      <x:c r="C12" s="32" t="n">
        <x:f>SUM(C8:C11)</x:f>
        <x:v>1044142.6011191293</x:v>
      </x:c>
    </x:row>
    <x:row r="13" ht="27" customHeight="1">
      <x:c r="A13" s="27"/>
      <x:c r="B13" s="26"/>
      <x:c r="C13" s="26"/>
    </x:row>
    <x:row r="14" ht="27" customHeight="1">
      <x:c r="A14" s="27" t="s">
        <x:v>47</x:v>
      </x:c>
      <x:c r="B14" s="26" t="n">
        <x:f>-SUM('Stress Monthly'!D8:Q8)</x:f>
        <x:v>-90000</x:v>
      </x:c>
      <x:c r="C14" s="26" t="n">
        <x:f>-SUM('Stress Monthly'!R8:AC8)</x:f>
        <x:v>0</x:v>
      </x:c>
    </x:row>
    <x:row r="15" ht="27" customHeight="1">
      <x:c r="A15" s="27" t="s">
        <x:v>6</x:v>
      </x:c>
      <x:c r="B15" s="26" t="n">
        <x:f>-SUM('Stress Monthly'!D9:Q9)</x:f>
        <x:v>-69000</x:v>
      </x:c>
      <x:c r="C15" s="26" t="n">
        <x:f>-SUM('Stress Monthly'!R9:AC9)</x:f>
        <x:v>0</x:v>
      </x:c>
    </x:row>
    <x:row r="16" ht="27" customHeight="1">
      <x:c r="A16" s="27" t="s">
        <x:v>48</x:v>
      </x:c>
      <x:c r="B16" s="26" t="n">
        <x:f>-B10</x:f>
        <x:v>-251505</x:v>
      </x:c>
      <x:c r="C16" s="26" t="n">
        <x:f>-C10</x:f>
        <x:v>-223560</x:v>
      </x:c>
    </x:row>
    <x:row r="17" ht="27" customHeight="1">
      <x:c r="A17" s="31" t="s">
        <x:v>49</x:v>
      </x:c>
      <x:c r="B17" s="32" t="n">
        <x:f>SUM(B14:B16)</x:f>
        <x:v>-410505</x:v>
      </x:c>
      <x:c r="C17" s="32" t="n">
        <x:f>SUM(C14:C16)</x:f>
        <x:v>-223560</x:v>
      </x:c>
    </x:row>
    <x:row r="18" ht="27" customHeight="1">
      <x:c r="A18" s="27"/>
      <x:c r="B18" s="26"/>
      <x:c r="C18" s="26"/>
    </x:row>
    <x:row r="19" ht="27" customHeight="1">
      <x:c r="A19" s="27" t="s">
        <x:v>50</x:v>
      </x:c>
      <x:c r="B19" s="26" t="n">
        <x:f>SUM('Stress Monthly'!D21:Q21)</x:f>
        <x:v>460000</x:v>
      </x:c>
      <x:c r="C19" s="26" t="n">
        <x:f>SUM('Stress Monthly'!R21:AC21)</x:f>
        <x:v>0</x:v>
      </x:c>
    </x:row>
    <x:row r="20" ht="27" customHeight="1">
      <x:c r="A20" s="27" t="s">
        <x:v>51</x:v>
      </x:c>
      <x:c r="B20" s="26" t="n">
        <x:f>SUM('Stress Monthly'!D43:Q43)</x:f>
        <x:v>0</x:v>
      </x:c>
      <x:c r="C20" s="26" t="n">
        <x:f>SUM('Stress Monthly'!R43:AC43)</x:f>
        <x:v>0</x:v>
      </x:c>
    </x:row>
    <x:row r="21" ht="27" customHeight="1">
      <x:c r="A21" s="27" t="s">
        <x:v>52</x:v>
      </x:c>
      <x:c r="B21" s="26" t="n">
        <x:f>SUM('Stress Monthly'!D22:Q22,'Stress Monthly'!D26:Q26)</x:f>
        <x:v>0</x:v>
      </x:c>
      <x:c r="C21" s="26" t="n">
        <x:f>SUM('Stress Monthly'!R22:AC22,'Stress Monthly'!R26:AC26)</x:f>
        <x:v>0</x:v>
      </x:c>
    </x:row>
    <x:row r="22" ht="27" customHeight="1">
      <x:c r="A22" s="31" t="s">
        <x:v>53</x:v>
      </x:c>
      <x:c r="B22" s="32" t="n">
        <x:f>SUM(B19:B21)</x:f>
        <x:v>460000</x:v>
      </x:c>
      <x:c r="C22" s="32" t="n">
        <x:f>SUM(C19:C21)</x:f>
        <x:v>0</x:v>
      </x:c>
    </x:row>
    <x:row r="23" ht="27" customHeight="1">
      <x:c r="A23" s="27"/>
      <x:c r="B23" s="26"/>
      <x:c r="C23" s="26"/>
    </x:row>
    <x:row r="24" ht="27" customHeight="1">
      <x:c r="A24" s="31" t="s">
        <x:v>54</x:v>
      </x:c>
      <x:c r="B24" s="32" t="n">
        <x:f>SUM(B12,B17,B22)</x:f>
        <x:v>236396.66666666674</x:v>
      </x:c>
      <x:c r="C24" s="32" t="n">
        <x:f>SUM(C12,C17,C22)</x:f>
        <x:v>820582.6011191293</x:v>
      </x:c>
    </x:row>
    <x:row r="25" ht="27" customHeight="1">
      <x:c r="A25" s="31" t="s">
        <x:v>55</x:v>
      </x:c>
      <x:c r="B25" s="32" t="n">
        <x:f>SUM(B6,B24)</x:f>
        <x:v>236396.66666666674</x:v>
      </x:c>
      <x:c r="C25" s="32" t="n">
        <x:f>SUM(C6,C24)</x:f>
        <x:v>1056979.267785796</x:v>
      </x:c>
    </x:row>
    <x:row r="26" ht="27" customHeight="1">
      <x:c r="A26" s="27" t="s">
        <x:v>56</x:v>
      </x:c>
      <x:c r="B26" s="28" t="n">
        <x:f>B25-'Stress Balance'!B13</x:f>
        <x:v>1.1641532182693481e-10</x:v>
      </x:c>
      <x:c r="C26" s="28" t="n">
        <x:f>C25-'Stress Balance'!C13</x:f>
        <x:v>6.984919309616089e-10</x:v>
      </x:c>
    </x:row>
    <x:row r="27" ht="27" customHeight="1">
      <x:c r="A27" s="27"/>
      <x:c r="B27" s="26"/>
      <x:c r="C27" s="26"/>
    </x:row>
    <x:row r="28" ht="27" customHeight="1">
      <x:c r="A28" s="31" t="s">
        <x:v>17</x:v>
      </x:c>
      <x:c r="B28" s="32" t="n">
        <x:f>SUM(B12,B17)</x:f>
        <x:v>-223603.33333333326</x:v>
      </x:c>
      <x:c r="C28" s="32" t="n">
        <x:f>SUM(C12,C17)</x:f>
        <x:v>820582.6011191293</x:v>
      </x:c>
    </x:row>
    <x:row r="29" ht="27" customHeight="1">
      <x:c r="A29" s="27" t="s">
        <x:v>57</x:v>
      </x:c>
      <x:c r="B29" s="26" t="n">
        <x:f>MIN('Stress Monthly'!D33:Q33)</x:f>
        <x:v>42330</x:v>
      </x:c>
      <x:c r="C29" s="26" t="n">
        <x:f>MIN('Stress Monthly'!R33:AC33)</x:f>
        <x:v>286321.99999999994</x:v>
      </x:c>
    </x:row>
    <x:row r="30" ht="27" customHeight="1">
      <x:c r="A30" s="27" t="s">
        <x:v>20</x:v>
      </x:c>
      <x:c r="B30" s="26" t="n">
        <x:f>0</x:f>
        <x:v>0</x:v>
      </x:c>
      <x:c r="C30" s="26" t="n">
        <x:f>0</x:f>
        <x:v>0</x:v>
      </x:c>
    </x:row>
    <x:row r="31">
      <x:c r="A31" s="15"/>
      <x:c r="B31" s="15"/>
      <x:c r="C31" s="15"/>
    </x:row>
    <x:row r="32" ht="37.95000076293945" customHeight="1">
      <x:c r="A32" s="52" t="s">
        <x:v>58</x:v>
      </x:c>
      <x:c r="B32" s="53"/>
      <x:c r="C32" s="53"/>
    </x:row>
    <x:row r="33" ht="37.95000076293945" customHeight="1">
      <x:c r="A33" s="59" t="str">
        <x:v>Tax, development capitalisation and payment timing follow the operating model. Profit is separate from cash flow.</x:v>
      </x:c>
      <x:c r="B33" s="53"/>
      <x:c r="C33" s="53"/>
    </x:row>
    <x:row r="34" ht="37.95000076293945" customHeight="1">
      <x:c r="A34" s="52" t="s">
        <x:v>59</x:v>
      </x:c>
      <x:c r="B34" s="53"/>
      <x:c r="C34" s="53"/>
    </x:row>
  </x:sheetData>
  <x:mergeCells>
    <x:mergeCell ref="A33:C33"/>
    <x:mergeCell ref="A32:C32"/>
    <x:mergeCell ref="A3:C3"/>
    <x:mergeCell ref="A34:C34"/>
    <x:mergeCell ref="A2:C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55" customWidth="1"/>
    <x:col min="2" max="2" width="30" customWidth="1"/>
    <x:col min="3" max="3" width="95" customWidth="1"/>
  </x:cols>
  <x:sheetData>
    <x:row r="1" ht="17.399999618530273">
      <x:c r="A1" s="3" t="s">
        <x:v>60</x:v>
      </x:c>
      <x:c r="B1" s="1"/>
      <x:c r="C1" s="1"/>
    </x:row>
    <x:row r="2">
      <x:c r="A2" s="1"/>
      <x:c r="B2" s="1"/>
      <x:c r="C2" s="1"/>
    </x:row>
    <x:row r="3" ht="43.95000076293945" customHeight="1">
      <x:c r="A3" s="34" t="s">
        <x:v>61</x:v>
      </x:c>
      <x:c r="B3" s="34" t="s">
        <x:v>62</x:v>
      </x:c>
      <x:c r="C3" s="34" t="s">
        <x:v>63</x:v>
      </x:c>
    </x:row>
    <x:row r="4" ht="43.95000076293945" customHeight="1">
      <x:c r="A4" s="33" t="s">
        <x:v>64</x:v>
      </x:c>
      <x:c r="B4" s="35">
        <x:v>0.1</x:v>
      </x:c>
      <x:c r="C4" s="60" t="str">
        <x:v>Managementinstructionassumption: monthly revenue is constant within each quarter. January 2028 is 10% above December 2027; the first month of each subsequent quarter rises a further 10%. Operating expenses remain unchanged.</x:v>
      </x:c>
    </x:row>
    <x:row r="5" ht="43.95000076293945" customHeight="1">
      <x:c r="A5" s="33" t="s">
        <x:v>65</x:v>
      </x:c>
      <x:c r="B5" s="35">
        <x:v>0</x:v>
      </x:c>
      <x:c r="C5" s="33" t="s">
        <x:v>66</x:v>
      </x:c>
    </x:row>
    <x:row r="6" ht="43.95000076293945" customHeight="1">
      <x:c r="A6" s="33" t="s">
        <x:v>67</x:v>
      </x:c>
      <x:c r="B6" s="36" t="n">
        <x:f>-AVERAGE('Base Monthly'!M7:O7)</x:f>
        <x:v>61333.333333333336</x:v>
      </x:c>
      <x:c r="C6" s="60" t="str">
        <x:v>Held constant at the average of months 10-12 (managementinstructionassumption: costs stayheld flat)</x:v>
      </x:c>
    </x:row>
    <x:row r="7" ht="43.95000076293945" customHeight="1">
      <x:c r="A7" s="33" t="s">
        <x:v>68</x:v>
      </x:c>
      <x:c r="B7" s="36" t="n">
        <x:f>'Base Monthly'!O6</x:f>
        <x:v>133400</x:v>
      </x:c>
      <x:c r="C7" s="33" t="s">
        <x:v>69</x:v>
      </x:c>
    </x:row>
    <x:row r="8" ht="43.95000076293945" customHeight="1">
      <x:c r="A8" s="33" t="s">
        <x:v>70</x:v>
      </x:c>
      <x:c r="B8" s="35">
        <x:v>0.09</x:v>
      </x:c>
      <x:c r="C8" s="60" t="str">
        <x:v>Planning rate: 9% on taxable income above AED 375,000; no 0% free-zone rate assumed. Source: UAE Ministry of Finance corporate tax threshold announcement, 31 January 2023.</x:v>
      </x:c>
    </x:row>
    <x:row r="9" ht="43.95000076293945" customHeight="1">
      <x:c r="A9" s="33" t="s">
        <x:v>71</x:v>
      </x:c>
      <x:c r="B9" s="35">
        <x:v>0.2</x:v>
      </x:c>
      <x:c r="C9" s="60" t="str">
        <x:v>Management assumption: 20 % a year from 2027, charged once at year end (31 December); non-cash</x:v>
      </x:c>
    </x:row>
    <x:row r="10" ht="43.95000076293945" customHeight="1">
      <x:c r="A10" s="33" t="s">
        <x:v>72</x:v>
      </x:c>
      <x:c r="B10" s="36">
        <x:v>0</x:v>
      </x:c>
      <x:c r="C10" s="33" t="s">
        <x:v>73</x:v>
      </x:c>
    </x:row>
    <x:row r="11" ht="108" customHeight="1">
      <x:c r="A11" s="33" t="s">
        <x:v>74</x:v>
      </x:c>
      <x:c r="B11" s="35">
        <x:v>0.45</x:v>
      </x:c>
      <x:c r="C11" s="60" t="str">
        <x:v>Management capitalisation assumption: 45% of development-team costs allocated to qualifying software development, at quarter end. The model amortises from the following year. Eligibility and the available-for-use date require project cost records; the percentage alone does not establish IAS 38 compliance.</x:v>
      </x:c>
    </x:row>
    <x:row r="12" ht="43.95000076293945" customHeight="1">
      <x:c r="A12" s="33" t="s">
        <x:v>75</x:v>
      </x:c>
      <x:c r="B12" s="36" t="n">
        <x:f>375000/3.6725</x:f>
        <x:v>102110.27910142955</x:v>
      </x:c>
      <x:c r="C12" s="33" t="s">
        <x:v>76</x:v>
      </x:c>
    </x:row>
    <x:row r="13" ht="64" customHeight="1">
      <x:c r="A13" s="33" t="s">
        <x:v>77</x:v>
      </x:c>
      <x:c r="B13" s="36">
        <x:v>2</x:v>
      </x:c>
      <x:c r="C13" s="61" t="str">
        <x:v>1 = development expensed in FY1; 2 = development capitalised from the start (selected). Capitalisation and tax eligibility are assessed separately.</x:v>
      </x:c>
    </x:row>
    <x:row r="14" ht="43.95000076293945" customHeight="1">
      <x:c r="A14" s="33" t="s">
        <x:v>78</x:v>
      </x:c>
      <x:c r="B14" s="35" t="n">
        <x:f>IF(B13=1,0,B11)</x:f>
        <x:v>0.45</x:v>
      </x:c>
      <x:c r="C14" s="33" t="s">
        <x:v>79</x:v>
      </x:c>
    </x:row>
    <x:row r="15" ht="43.95000076293945" customHeight="1">
      <x:c r="A15" s="33" t="s">
        <x:v>51</x:v>
      </x:c>
      <x:c r="B15" s="36">
        <x:v>0</x:v>
      </x:c>
      <x:c r="C15" s="61" t="str">
        <x:v>No founder cash contribution. Existing resources are available without cash purchase in this forecast.</x:v>
      </x:c>
    </x:row>
    <x:row r="16" ht="43.95000076293945" customHeight="1">
      <x:c r="A16" s="33" t="s">
        <x:v>80</x:v>
      </x:c>
      <x:c r="B16" s="36">
        <x:v>1</x:v>
      </x:c>
      <x:c r="C16" s="33" t="s">
        <x:v>81</x:v>
      </x:c>
    </x:row>
    <x:row r="17" ht="43.95000076293945" customHeight="1">
      <x:c r="A17" s="33" t="s">
        <x:v>82</x:v>
      </x:c>
      <x:c r="B17" s="36">
        <x:v>50000</x:v>
      </x:c>
      <x:c r="C17" s="33" t="s">
        <x:v>83</x:v>
      </x:c>
    </x:row>
    <x:row r="18" ht="43.95000076293945" customHeight="1">
      <x:c r="A18" s="33" t="s">
        <x:v>84</x:v>
      </x:c>
      <x:c r="B18" s="36" t="s">
        <x:v>85</x:v>
      </x:c>
      <x:c r="C18" s="33" t="s">
        <x:v>86</x:v>
      </x:c>
    </x:row>
    <x:row r="19" ht="96" customHeight="1">
      <x:c r="A19" s="60" t="str">
        <x:v>Founder resources made available (memo value)</x:v>
      </x:c>
      <x:c r="B19" s="38">
        <x:v>460000</x:v>
      </x:c>
      <x:c r="C19" s="60" t="str">
        <x:v>Existing land, buildings, infrastructure, equipment, software and prior work, made available without a cash purchase in this forecast. Management memo value: about $460,000. No transfer of title or accounting recognition is assumed.</x:v>
      </x:c>
    </x:row>
    <x:row r="20" ht="43.95000076293945" customHeight="1">
      <x:c r="A20" s="33" t="s">
        <x:v>87</x:v>
      </x:c>
      <x:c r="B20" s="39">
        <x:v>0.2</x:v>
      </x:c>
      <x:c r="C20" s="60" t="str">
        <x:v>Management stress assumption: revenue and matching customer receipts are reduced by 20% in every forecast month.</x:v>
      </x:c>
    </x:row>
    <x:row r="21" ht="43.95000076293945" customHeight="1">
      <x:c r="A21" s="33" t="s">
        <x:v>88</x:v>
      </x:c>
      <x:c r="B21" s="39">
        <x:v>0.1</x:v>
      </x:c>
      <x:c r="C21" s="33" t="s">
        <x:v>89</x:v>
      </x:c>
    </x:row>
    <x:row r="22" ht="43.95000076293945" customHeight="1">
      <x:c r="A22" s="33" t="s">
        <x:v>90</x:v>
      </x:c>
      <x:c r="B22" s="38">
        <x:v>300000</x:v>
      </x:c>
      <x:c r="C22" s="60" t="str">
        <x:v>Management funding schedule.</x:v>
      </x:c>
    </x:row>
    <x:row r="23" ht="43.95000076293945" customHeight="1">
      <x:c r="A23" s="60" t="str">
        <x:v>Second subscription - January 2027</x:v>
      </x:c>
      <x:c r="B23" s="38">
        <x:v>110000</x:v>
      </x:c>
      <x:c r="C23" s="60" t="str">
        <x:v>Management funding schedule.</x:v>
      </x:c>
    </x:row>
    <x:row r="24" ht="43.95000076293945" customHeight="1">
      <x:c r="A24" s="60" t="str">
        <x:v>Third subscription - April 2027</x:v>
      </x:c>
      <x:c r="B24" s="38">
        <x:v>50000</x:v>
      </x:c>
      <x:c r="C24" s="33" t="s">
        <x:v>91</x:v>
      </x:c>
    </x:row>
    <x:row r="25" ht="43.95000076293945" customHeight="1">
      <x:c r="A25" s="33" t="s">
        <x:v>92</x:v>
      </x:c>
      <x:c r="B25" s="36" t="n">
        <x:f>SUM(B22:B24)</x:f>
        <x:v>460000</x:v>
      </x:c>
      <x:c r="C25" s="33" t="s">
        <x:v>93</x:v>
      </x:c>
    </x:row>
    <x:row r="26" ht="96" customHeight="1">
      <x:c r="A26" s="60" t="str">
        <x:v>Founder resources in this management forecast</x:v>
      </x:c>
      <x:c r="B26" s="60" t="str">
        <x:v>Memo only</x:v>
      </x:c>
      <x:c r="C26" s="60" t="str">
        <x:v>The forecast records no acquired founder asset or related depreciation. Statutory recognition depends on the executed ownership, licence and use agreements; rights of use are not automatically off balance sheet.</x:v>
      </x:c>
    </x:row>
    <x:row r="27" ht="70.05000305175781" customHeight="1">
      <x:c r="A27" s="33" t="s">
        <x:v>94</x:v>
      </x:c>
      <x:c r="B27" s="37" t="s">
        <x:v>95</x:v>
      </x:c>
      <x:c r="C27" s="60" t="str">
        <x:v>Management information. Formation costs have already been paid. No new founder cash contribution or separate incorporation charge is added.</x:v>
      </x:c>
    </x:row>
    <x:row r="28" ht="70.05000305175781" customHeight="1">
      <x:c r="A28" s="33" t="s">
        <x:v>96</x:v>
      </x:c>
      <x:c r="B28" s="37" t="s">
        <x:v>97</x:v>
      </x:c>
      <x:c r="C28" s="33" t="s">
        <x:v>98</x:v>
      </x:c>
    </x:row>
    <x:row r="29" ht="70.05000305175781" customHeight="1">
      <x:c r="A29" s="33" t="s">
        <x:v>99</x:v>
      </x:c>
      <x:c r="B29" s="40">
        <x:v>159000</x:v>
      </x:c>
      <x:c r="C29" s="33" t="s">
        <x:v>100</x:v>
      </x:c>
    </x:row>
    <x:row r="30" ht="70.05000305175781" customHeight="1">
      <x:c r="A30" s="60" t="str">
        <x:v>Operating model</x:v>
      </x:c>
      <x:c r="B30" s="60" t="str">
        <x:v>Oristella operating model (management)</x:v>
      </x:c>
      <x:c r="C30" s="61" t="str">
        <x:v>Service-stream and monthly operating schedules supplied by management. This is a standalone Oristella project forecast.</x:v>
      </x:c>
    </x:row>
    <x:row r="31" ht="80" customHeight="1">
      <x:c r="A31" s="61" t="str">
        <x:v>Accounting basis</x:v>
      </x:c>
      <x:c r="B31" s="37" t="s">
        <x:v>101</x:v>
      </x:c>
      <x:c r="C31" s="60" t="str">
        <x:v>Management project forecast. Founder-provided resources are shown as a memo item. Statutory treatment follows the actual agreements and applicable accounting standards.</x:v>
      </x:c>
    </x:row>
    <x:row r="32" ht="70.05000305175781" customHeight="1">
      <x:c r="A32" s="5" t="s">
        <x:v>102</x:v>
      </x:c>
      <x:c r="B32" s="41" t="s">
        <x:v>103</x:v>
      </x:c>
      <x:c r="C32" s="5" t="s">
        <x:v>104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3.800000190734863"/>
  <x:cols>
    <x:col min="1" max="1" width="55" customWidth="1"/>
    <x:col min="2" max="3" width="4" customWidth="1"/>
    <x:col min="4" max="29" width="15" customWidth="1"/>
  </x:cols>
  <x:sheetData>
    <x:row r="1" ht="28.049999237060547" customHeight="1">
      <x:c r="A1" s="3" t="s">
        <x:v>105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</x:row>
    <x:row r="2" ht="28.049999237060547" customHeight="1">
      <x:c r="A2" s="9" t="s">
        <x:v>106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  <x:c r="W2" s="9"/>
      <x:c r="X2" s="9"/>
      <x:c r="Y2" s="9"/>
      <x:c r="Z2" s="9"/>
      <x:c r="AA2" s="9"/>
      <x:c r="AB2" s="9"/>
      <x:c r="AC2" s="9"/>
    </x:row>
    <x:row r="3">
      <x:c r="A3" s="4" t="s">
        <x:v>107</x:v>
      </x:c>
      <x:c r="B3" s="4"/>
      <x:c r="C3" s="4"/>
      <x:c r="D3" s="4">
        <x:v>1</x:v>
      </x:c>
      <x:c r="E3" s="4">
        <x:v>2</x:v>
      </x:c>
      <x:c r="F3" s="4">
        <x:v>3</x:v>
      </x:c>
      <x:c r="G3" s="4">
        <x:v>4</x:v>
      </x:c>
      <x:c r="H3" s="4">
        <x:v>5</x:v>
      </x:c>
      <x:c r="I3" s="4">
        <x:v>6</x:v>
      </x:c>
      <x:c r="J3" s="4">
        <x:v>7</x:v>
      </x:c>
      <x:c r="K3" s="4">
        <x:v>8</x:v>
      </x:c>
      <x:c r="L3" s="4">
        <x:v>9</x:v>
      </x:c>
      <x:c r="M3" s="4">
        <x:v>10</x:v>
      </x:c>
      <x:c r="N3" s="4">
        <x:v>11</x:v>
      </x:c>
      <x:c r="O3" s="4">
        <x:v>12</x:v>
      </x:c>
      <x:c r="P3" s="4">
        <x:v>13</x:v>
      </x:c>
      <x:c r="Q3" s="4">
        <x:v>14</x:v>
      </x:c>
      <x:c r="R3" s="4">
        <x:v>15</x:v>
      </x:c>
      <x:c r="S3" s="4">
        <x:v>16</x:v>
      </x:c>
      <x:c r="T3" s="4">
        <x:v>17</x:v>
      </x:c>
      <x:c r="U3" s="4">
        <x:v>18</x:v>
      </x:c>
      <x:c r="V3" s="4">
        <x:v>19</x:v>
      </x:c>
      <x:c r="W3" s="4">
        <x:v>20</x:v>
      </x:c>
      <x:c r="X3" s="4">
        <x:v>21</x:v>
      </x:c>
      <x:c r="Y3" s="4">
        <x:v>22</x:v>
      </x:c>
      <x:c r="Z3" s="4">
        <x:v>23</x:v>
      </x:c>
      <x:c r="AA3" s="4">
        <x:v>24</x:v>
      </x:c>
      <x:c r="AB3" s="4">
        <x:v>25</x:v>
      </x:c>
      <x:c r="AC3" s="4">
        <x:v>26</x:v>
      </x:c>
    </x:row>
    <x:row r="4">
      <x:c r="A4" s="4" t="s">
        <x:v>108</x:v>
      </x:c>
      <x:c r="B4" s="4"/>
      <x:c r="C4" s="4"/>
      <x:c r="D4" s="4" t="s">
        <x:v>109</x:v>
      </x:c>
      <x:c r="E4" s="4" t="s">
        <x:v>110</x:v>
      </x:c>
      <x:c r="F4" s="4" t="s">
        <x:v>111</x:v>
      </x:c>
      <x:c r="G4" s="4" t="s">
        <x:v>112</x:v>
      </x:c>
      <x:c r="H4" s="4" t="s">
        <x:v>113</x:v>
      </x:c>
      <x:c r="I4" s="4" t="s">
        <x:v>114</x:v>
      </x:c>
      <x:c r="J4" s="4" t="s">
        <x:v>115</x:v>
      </x:c>
      <x:c r="K4" s="4" t="s">
        <x:v>116</x:v>
      </x:c>
      <x:c r="L4" s="4" t="s">
        <x:v>117</x:v>
      </x:c>
      <x:c r="M4" s="4" t="s">
        <x:v>118</x:v>
      </x:c>
      <x:c r="N4" s="4" t="s">
        <x:v>119</x:v>
      </x:c>
      <x:c r="O4" s="4" t="s">
        <x:v>120</x:v>
      </x:c>
      <x:c r="P4" s="4" t="s">
        <x:v>121</x:v>
      </x:c>
      <x:c r="Q4" s="4" t="s">
        <x:v>122</x:v>
      </x:c>
      <x:c r="R4" s="4" t="s">
        <x:v>123</x:v>
      </x:c>
      <x:c r="S4" s="4" t="s">
        <x:v>124</x:v>
      </x:c>
      <x:c r="T4" s="4" t="s">
        <x:v>125</x:v>
      </x:c>
      <x:c r="U4" s="4" t="s">
        <x:v>126</x:v>
      </x:c>
      <x:c r="V4" s="4" t="s">
        <x:v>127</x:v>
      </x:c>
      <x:c r="W4" s="4" t="s">
        <x:v>128</x:v>
      </x:c>
      <x:c r="X4" s="4" t="s">
        <x:v>129</x:v>
      </x:c>
      <x:c r="Y4" s="4" t="s">
        <x:v>130</x:v>
      </x:c>
      <x:c r="Z4" s="4" t="s">
        <x:v>131</x:v>
      </x:c>
      <x:c r="AA4" s="4" t="s">
        <x:v>132</x:v>
      </x:c>
      <x:c r="AB4" s="4" t="s">
        <x:v>133</x:v>
      </x:c>
      <x:c r="AC4" s="4" t="s">
        <x:v>134</x:v>
      </x:c>
    </x:row>
    <x:row r="5" ht="19.950000762939453" customHeight="1">
      <x:c r="A5" s="5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</x:row>
    <x:row r="6" ht="19.950000762939453" customHeight="1">
      <x:c r="A6" s="5" t="s">
        <x:v>135</x:v>
      </x:c>
      <x:c r="B6" s="1"/>
      <x:c r="C6" s="1"/>
      <x:c r="D6" s="2" t="n">
        <x:f>0*Inputs!$B$16</x:f>
        <x:v>0</x:v>
      </x:c>
      <x:c r="E6" s="2" t="n">
        <x:f>0*Inputs!$B$16</x:f>
        <x:v>0</x:v>
      </x:c>
      <x:c r="F6" s="2" t="n">
        <x:f>22900*Inputs!$B$16</x:f>
        <x:v>22900</x:v>
      </x:c>
      <x:c r="G6" s="2" t="n">
        <x:f>31400*Inputs!$B$16</x:f>
        <x:v>31400</x:v>
      </x:c>
      <x:c r="H6" s="2" t="n">
        <x:f>41800*Inputs!$B$16</x:f>
        <x:v>41800</x:v>
      </x:c>
      <x:c r="I6" s="2" t="n">
        <x:f>49700*Inputs!$B$16</x:f>
        <x:v>49700</x:v>
      </x:c>
      <x:c r="J6" s="2" t="n">
        <x:f>54300*Inputs!$B$16</x:f>
        <x:v>54300</x:v>
      </x:c>
      <x:c r="K6" s="2" t="n">
        <x:f>60800*Inputs!$B$16</x:f>
        <x:v>60800</x:v>
      </x:c>
      <x:c r="L6" s="2" t="n">
        <x:f>93400*Inputs!$B$16</x:f>
        <x:v>93400</x:v>
      </x:c>
      <x:c r="M6" s="2" t="n">
        <x:f>109400*Inputs!$B$16</x:f>
        <x:v>109400</x:v>
      </x:c>
      <x:c r="N6" s="2" t="n">
        <x:f>133300*Inputs!$B$16</x:f>
        <x:v>133300</x:v>
      </x:c>
      <x:c r="O6" s="2" t="n">
        <x:f>133400*Inputs!$B$16</x:f>
        <x:v>133400</x:v>
      </x:c>
      <x:c r="P6" s="2" t="n">
        <x:f>Inputs!$B$7*(1+Inputs!$B$5)</x:f>
        <x:v>133400</x:v>
      </x:c>
      <x:c r="Q6" s="2" t="n">
        <x:f>Inputs!$B$7*(1+Inputs!$B$5)</x:f>
        <x:v>133400</x:v>
      </x:c>
      <x:c r="R6" s="2" t="n">
        <x:f>Q6*(1+Inputs!$B$4)</x:f>
        <x:v>146740</x:v>
      </x:c>
      <x:c r="S6" s="2" t="n">
        <x:f>R6</x:f>
        <x:v>146740</x:v>
      </x:c>
      <x:c r="T6" s="2" t="n">
        <x:f>R6</x:f>
        <x:v>146740</x:v>
      </x:c>
      <x:c r="U6" s="2" t="n">
        <x:f>T6*(1+Inputs!$B$4)</x:f>
        <x:v>161414</x:v>
      </x:c>
      <x:c r="V6" s="2" t="n">
        <x:f>U6</x:f>
        <x:v>161414</x:v>
      </x:c>
      <x:c r="W6" s="2" t="n">
        <x:f>U6</x:f>
        <x:v>161414</x:v>
      </x:c>
      <x:c r="X6" s="2" t="n">
        <x:f>W6*(1+Inputs!$B$4)</x:f>
        <x:v>177555.40000000002</x:v>
      </x:c>
      <x:c r="Y6" s="2" t="n">
        <x:f>X6</x:f>
        <x:v>177555.40000000002</x:v>
      </x:c>
      <x:c r="Z6" s="2" t="n">
        <x:f>X6</x:f>
        <x:v>177555.40000000002</x:v>
      </x:c>
      <x:c r="AA6" s="2" t="n">
        <x:f>Z6*(1+Inputs!$B$4)</x:f>
        <x:v>195310.94000000003</x:v>
      </x:c>
      <x:c r="AB6" s="2" t="n">
        <x:f>AA6</x:f>
        <x:v>195310.94000000003</x:v>
      </x:c>
      <x:c r="AC6" s="2" t="n">
        <x:f>AA6</x:f>
        <x:v>195310.94000000003</x:v>
      </x:c>
    </x:row>
    <x:row r="7" ht="19.950000762939453" customHeight="1">
      <x:c r="A7" s="5" t="s">
        <x:v>136</x:v>
      </x:c>
      <x:c r="B7" s="1"/>
      <x:c r="C7" s="1"/>
      <x:c r="D7" s="2">
        <x:v>-41900</x:v>
      </x:c>
      <x:c r="E7" s="2">
        <x:v>-47800</x:v>
      </x:c>
      <x:c r="F7" s="2">
        <x:v>-51200</x:v>
      </x:c>
      <x:c r="G7" s="2">
        <x:v>-51200</x:v>
      </x:c>
      <x:c r="H7" s="2">
        <x:v>-58050</x:v>
      </x:c>
      <x:c r="I7" s="2">
        <x:v>-55050</x:v>
      </x:c>
      <x:c r="J7" s="2">
        <x:v>-55050</x:v>
      </x:c>
      <x:c r="K7" s="2">
        <x:v>-55050</x:v>
      </x:c>
      <x:c r="L7" s="2">
        <x:v>-62000</x:v>
      </x:c>
      <x:c r="M7" s="2">
        <x:v>-62000</x:v>
      </x:c>
      <x:c r="N7" s="2">
        <x:v>-62000</x:v>
      </x:c>
      <x:c r="O7" s="2">
        <x:v>-60000</x:v>
      </x:c>
      <x:c r="P7" s="2" t="n">
        <x:f>-Inputs!$B$6</x:f>
        <x:v>-61333.333333333336</x:v>
      </x:c>
      <x:c r="Q7" s="2" t="n">
        <x:f>-Inputs!$B$6</x:f>
        <x:v>-61333.333333333336</x:v>
      </x:c>
      <x:c r="R7" s="2" t="n">
        <x:f>-Inputs!$B$6</x:f>
        <x:v>-61333.333333333336</x:v>
      </x:c>
      <x:c r="S7" s="2" t="n">
        <x:f>-Inputs!$B$6</x:f>
        <x:v>-61333.333333333336</x:v>
      </x:c>
      <x:c r="T7" s="2" t="n">
        <x:f>-Inputs!$B$6</x:f>
        <x:v>-61333.333333333336</x:v>
      </x:c>
      <x:c r="U7" s="2" t="n">
        <x:f>-Inputs!$B$6</x:f>
        <x:v>-61333.333333333336</x:v>
      </x:c>
      <x:c r="V7" s="2" t="n">
        <x:f>-Inputs!$B$6</x:f>
        <x:v>-61333.333333333336</x:v>
      </x:c>
      <x:c r="W7" s="2" t="n">
        <x:f>-Inputs!$B$6</x:f>
        <x:v>-61333.333333333336</x:v>
      </x:c>
      <x:c r="X7" s="2" t="n">
        <x:f>-Inputs!$B$6</x:f>
        <x:v>-61333.333333333336</x:v>
      </x:c>
      <x:c r="Y7" s="2" t="n">
        <x:f>-Inputs!$B$6</x:f>
        <x:v>-61333.333333333336</x:v>
      </x:c>
      <x:c r="Z7" s="2" t="n">
        <x:f>-Inputs!$B$6</x:f>
        <x:v>-61333.333333333336</x:v>
      </x:c>
      <x:c r="AA7" s="2" t="n">
        <x:f>-Inputs!$B$6</x:f>
        <x:v>-61333.333333333336</x:v>
      </x:c>
      <x:c r="AB7" s="2" t="n">
        <x:f>-Inputs!$B$6</x:f>
        <x:v>-61333.333333333336</x:v>
      </x:c>
      <x:c r="AC7" s="2" t="n">
        <x:f>-Inputs!$B$6</x:f>
        <x:v>-61333.333333333336</x:v>
      </x:c>
    </x:row>
    <x:row r="8" ht="19.950000762939453" customHeight="1">
      <x:c r="A8" s="5" t="s">
        <x:v>137</x:v>
      </x:c>
      <x:c r="B8" s="1"/>
      <x:c r="C8" s="1"/>
      <x:c r="D8" s="2">
        <x:v>43000</x:v>
      </x:c>
      <x:c r="E8" s="2">
        <x:v>47000</x:v>
      </x:c>
      <x:c r="F8" s="2">
        <x:v>0</x:v>
      </x:c>
      <x:c r="G8" s="2">
        <x:v>0</x:v>
      </x:c>
      <x:c r="H8" s="2">
        <x:v>0</x:v>
      </x:c>
      <x:c r="I8" s="2">
        <x:v>0</x:v>
      </x:c>
      <x:c r="J8" s="2">
        <x:v>0</x:v>
      </x:c>
      <x:c r="K8" s="2">
        <x:v>0</x:v>
      </x:c>
      <x:c r="L8" s="2">
        <x:v>0</x:v>
      </x:c>
      <x:c r="M8" s="2">
        <x:v>0</x:v>
      </x:c>
      <x:c r="N8" s="2">
        <x:v>0</x:v>
      </x:c>
      <x:c r="O8" s="2">
        <x:v>0</x:v>
      </x:c>
      <x:c r="P8" s="2">
        <x:v>0</x:v>
      </x:c>
      <x:c r="Q8" s="2">
        <x:v>0</x:v>
      </x:c>
      <x:c r="R8" s="2">
        <x:v>0</x:v>
      </x:c>
      <x:c r="S8" s="2">
        <x:v>0</x:v>
      </x:c>
      <x:c r="T8" s="2">
        <x:v>0</x:v>
      </x:c>
      <x:c r="U8" s="2">
        <x:v>0</x:v>
      </x:c>
      <x:c r="V8" s="2">
        <x:v>0</x:v>
      </x:c>
      <x:c r="W8" s="2">
        <x:v>0</x:v>
      </x:c>
      <x:c r="X8" s="2">
        <x:v>0</x:v>
      </x:c>
      <x:c r="Y8" s="2">
        <x:v>0</x:v>
      </x:c>
      <x:c r="Z8" s="2">
        <x:v>0</x:v>
      </x:c>
      <x:c r="AA8" s="2">
        <x:v>0</x:v>
      </x:c>
      <x:c r="AB8" s="2">
        <x:v>0</x:v>
      </x:c>
      <x:c r="AC8" s="2">
        <x:v>0</x:v>
      </x:c>
    </x:row>
    <x:row r="9" ht="19.950000762939453" customHeight="1">
      <x:c r="A9" s="5" t="s">
        <x:v>138</x:v>
      </x:c>
      <x:c r="B9" s="1"/>
      <x:c r="C9" s="1"/>
      <x:c r="D9" s="2">
        <x:v>0</x:v>
      </x:c>
      <x:c r="E9" s="2">
        <x:v>69000</x:v>
      </x:c>
      <x:c r="F9" s="2">
        <x:v>0</x:v>
      </x:c>
      <x:c r="G9" s="2">
        <x:v>0</x:v>
      </x:c>
      <x:c r="H9" s="2">
        <x:v>0</x:v>
      </x:c>
      <x:c r="I9" s="2">
        <x:v>0</x:v>
      </x:c>
      <x:c r="J9" s="2">
        <x:v>0</x:v>
      </x:c>
      <x:c r="K9" s="2">
        <x:v>0</x:v>
      </x:c>
      <x:c r="L9" s="2">
        <x:v>0</x:v>
      </x:c>
      <x:c r="M9" s="2">
        <x:v>0</x:v>
      </x:c>
      <x:c r="N9" s="2">
        <x:v>0</x:v>
      </x:c>
      <x:c r="O9" s="2">
        <x:v>0</x:v>
      </x:c>
      <x:c r="P9" s="2">
        <x:v>0</x:v>
      </x:c>
      <x:c r="Q9" s="2">
        <x:v>0</x:v>
      </x:c>
      <x:c r="R9" s="2">
        <x:v>0</x:v>
      </x:c>
      <x:c r="S9" s="2">
        <x:v>0</x:v>
      </x:c>
      <x:c r="T9" s="2">
        <x:v>0</x:v>
      </x:c>
      <x:c r="U9" s="2">
        <x:v>0</x:v>
      </x:c>
      <x:c r="V9" s="2">
        <x:v>0</x:v>
      </x:c>
      <x:c r="W9" s="2">
        <x:v>0</x:v>
      </x:c>
      <x:c r="X9" s="2">
        <x:v>0</x:v>
      </x:c>
      <x:c r="Y9" s="2">
        <x:v>0</x:v>
      </x:c>
      <x:c r="Z9" s="2">
        <x:v>0</x:v>
      </x:c>
      <x:c r="AA9" s="2">
        <x:v>0</x:v>
      </x:c>
      <x:c r="AB9" s="2">
        <x:v>0</x:v>
      </x:c>
      <x:c r="AC9" s="2">
        <x:v>0</x:v>
      </x:c>
    </x:row>
    <x:row r="10" ht="19.950000762939453" customHeight="1">
      <x:c r="A10" s="5" t="s">
        <x:v>139</x:v>
      </x:c>
      <x:c r="B10" s="1"/>
      <x:c r="C10" s="1"/>
      <x:c r="D10" s="2" t="n">
        <x:f>D8</x:f>
        <x:v>43000</x:v>
      </x:c>
      <x:c r="E10" s="2" t="n">
        <x:f t="shared" ref="E10:AC10" si="0">D10+E8</x:f>
        <x:v>90000</x:v>
      </x:c>
      <x:c r="F10" s="2">
        <x:f t="shared" si="0"/>
        <x:v>90000</x:v>
      </x:c>
      <x:c r="G10" s="2">
        <x:f t="shared" si="0"/>
        <x:v>90000</x:v>
      </x:c>
      <x:c r="H10" s="2">
        <x:f t="shared" si="0"/>
        <x:v>90000</x:v>
      </x:c>
      <x:c r="I10" s="2">
        <x:f t="shared" si="0"/>
        <x:v>90000</x:v>
      </x:c>
      <x:c r="J10" s="2">
        <x:f t="shared" si="0"/>
        <x:v>90000</x:v>
      </x:c>
      <x:c r="K10" s="2">
        <x:f t="shared" si="0"/>
        <x:v>90000</x:v>
      </x:c>
      <x:c r="L10" s="2">
        <x:f t="shared" si="0"/>
        <x:v>90000</x:v>
      </x:c>
      <x:c r="M10" s="2">
        <x:f t="shared" si="0"/>
        <x:v>90000</x:v>
      </x:c>
      <x:c r="N10" s="2">
        <x:f t="shared" si="0"/>
        <x:v>90000</x:v>
      </x:c>
      <x:c r="O10" s="2">
        <x:f t="shared" si="0"/>
        <x:v>90000</x:v>
      </x:c>
      <x:c r="P10" s="2">
        <x:f t="shared" si="0"/>
        <x:v>90000</x:v>
      </x:c>
      <x:c r="Q10" s="2">
        <x:f t="shared" si="0"/>
        <x:v>90000</x:v>
      </x:c>
      <x:c r="R10" s="2">
        <x:f t="shared" si="0"/>
        <x:v>90000</x:v>
      </x:c>
      <x:c r="S10" s="2">
        <x:f t="shared" si="0"/>
        <x:v>90000</x:v>
      </x:c>
      <x:c r="T10" s="2">
        <x:f t="shared" si="0"/>
        <x:v>90000</x:v>
      </x:c>
      <x:c r="U10" s="2">
        <x:f t="shared" si="0"/>
        <x:v>90000</x:v>
      </x:c>
      <x:c r="V10" s="2">
        <x:f t="shared" si="0"/>
        <x:v>90000</x:v>
      </x:c>
      <x:c r="W10" s="2">
        <x:f t="shared" si="0"/>
        <x:v>90000</x:v>
      </x:c>
      <x:c r="X10" s="2">
        <x:f t="shared" si="0"/>
        <x:v>90000</x:v>
      </x:c>
      <x:c r="Y10" s="2">
        <x:f t="shared" si="0"/>
        <x:v>90000</x:v>
      </x:c>
      <x:c r="Z10" s="2">
        <x:f t="shared" si="0"/>
        <x:v>90000</x:v>
      </x:c>
      <x:c r="AA10" s="2">
        <x:f t="shared" si="0"/>
        <x:v>90000</x:v>
      </x:c>
      <x:c r="AB10" s="2">
        <x:f t="shared" si="0"/>
        <x:v>90000</x:v>
      </x:c>
      <x:c r="AC10" s="2">
        <x:f t="shared" si="0"/>
        <x:v>90000</x:v>
      </x:c>
    </x:row>
    <x:row r="11" ht="19.950000762939453" customHeight="1">
      <x:c r="A11" s="5" t="s">
        <x:v>140</x:v>
      </x:c>
      <x:c r="B11" s="1"/>
      <x:c r="C11" s="1"/>
      <x:c r="D11" s="2" t="n">
        <x:f>D9</x:f>
        <x:v>0</x:v>
      </x:c>
      <x:c r="E11" s="2" t="n">
        <x:f t="shared" ref="E11:AC11" si="1">D11+E9</x:f>
        <x:v>69000</x:v>
      </x:c>
      <x:c r="F11" s="2">
        <x:f t="shared" si="1"/>
        <x:v>69000</x:v>
      </x:c>
      <x:c r="G11" s="2">
        <x:f t="shared" si="1"/>
        <x:v>69000</x:v>
      </x:c>
      <x:c r="H11" s="2">
        <x:f t="shared" si="1"/>
        <x:v>69000</x:v>
      </x:c>
      <x:c r="I11" s="2">
        <x:f t="shared" si="1"/>
        <x:v>69000</x:v>
      </x:c>
      <x:c r="J11" s="2">
        <x:f t="shared" si="1"/>
        <x:v>69000</x:v>
      </x:c>
      <x:c r="K11" s="2">
        <x:f t="shared" si="1"/>
        <x:v>69000</x:v>
      </x:c>
      <x:c r="L11" s="2">
        <x:f t="shared" si="1"/>
        <x:v>69000</x:v>
      </x:c>
      <x:c r="M11" s="2">
        <x:f t="shared" si="1"/>
        <x:v>69000</x:v>
      </x:c>
      <x:c r="N11" s="2">
        <x:f t="shared" si="1"/>
        <x:v>69000</x:v>
      </x:c>
      <x:c r="O11" s="2">
        <x:f t="shared" si="1"/>
        <x:v>69000</x:v>
      </x:c>
      <x:c r="P11" s="2">
        <x:f t="shared" si="1"/>
        <x:v>69000</x:v>
      </x:c>
      <x:c r="Q11" s="2">
        <x:f t="shared" si="1"/>
        <x:v>69000</x:v>
      </x:c>
      <x:c r="R11" s="2">
        <x:f t="shared" si="1"/>
        <x:v>69000</x:v>
      </x:c>
      <x:c r="S11" s="2">
        <x:f t="shared" si="1"/>
        <x:v>69000</x:v>
      </x:c>
      <x:c r="T11" s="2">
        <x:f t="shared" si="1"/>
        <x:v>69000</x:v>
      </x:c>
      <x:c r="U11" s="2">
        <x:f t="shared" si="1"/>
        <x:v>69000</x:v>
      </x:c>
      <x:c r="V11" s="2">
        <x:f t="shared" si="1"/>
        <x:v>69000</x:v>
      </x:c>
      <x:c r="W11" s="2">
        <x:f t="shared" si="1"/>
        <x:v>69000</x:v>
      </x:c>
      <x:c r="X11" s="2">
        <x:f t="shared" si="1"/>
        <x:v>69000</x:v>
      </x:c>
      <x:c r="Y11" s="2">
        <x:f t="shared" si="1"/>
        <x:v>69000</x:v>
      </x:c>
      <x:c r="Z11" s="2">
        <x:f t="shared" si="1"/>
        <x:v>69000</x:v>
      </x:c>
      <x:c r="AA11" s="2">
        <x:f t="shared" si="1"/>
        <x:v>69000</x:v>
      </x:c>
      <x:c r="AB11" s="2">
        <x:f t="shared" si="1"/>
        <x:v>69000</x:v>
      </x:c>
      <x:c r="AC11" s="2">
        <x:f t="shared" si="1"/>
        <x:v>69000</x:v>
      </x:c>
    </x:row>
    <x:row r="12" ht="19.950000762939453" customHeight="1">
      <x:c r="A12" s="5" t="s">
        <x:v>141</x:v>
      </x:c>
      <x:c r="B12" s="1"/>
      <x:c r="C12" s="1"/>
      <x:c r="D12" s="2">
        <x:v>0</x:v>
      </x:c>
      <x:c r="E12" s="2">
        <x:v>0</x:v>
      </x:c>
      <x:c r="F12" s="2">
        <x:v>0</x:v>
      </x:c>
      <x:c r="G12" s="2">
        <x:v>0</x:v>
      </x:c>
      <x:c r="H12" s="2">
        <x:v>0</x:v>
      </x:c>
      <x:c r="I12" s="2">
        <x:v>0</x:v>
      </x:c>
      <x:c r="J12" s="2">
        <x:v>0</x:v>
      </x:c>
      <x:c r="K12" s="2">
        <x:v>0</x:v>
      </x:c>
      <x:c r="L12" s="2">
        <x:v>0</x:v>
      </x:c>
      <x:c r="M12" s="2">
        <x:v>0</x:v>
      </x:c>
      <x:c r="N12" s="2">
        <x:v>0</x:v>
      </x:c>
      <x:c r="O12" s="2">
        <x:v>0</x:v>
      </x:c>
      <x:c r="P12" s="2">
        <x:v>0</x:v>
      </x:c>
      <x:c r="Q12" s="2" t="n">
        <x:f>-Q10*Inputs!$B$9</x:f>
        <x:v>-18000</x:v>
      </x:c>
      <x:c r="R12" s="2">
        <x:v>0</x:v>
      </x:c>
      <x:c r="S12" s="2">
        <x:v>0</x:v>
      </x:c>
      <x:c r="T12" s="2">
        <x:v>0</x:v>
      </x:c>
      <x:c r="U12" s="2">
        <x:v>0</x:v>
      </x:c>
      <x:c r="V12" s="2">
        <x:v>0</x:v>
      </x:c>
      <x:c r="W12" s="2">
        <x:v>0</x:v>
      </x:c>
      <x:c r="X12" s="2">
        <x:v>0</x:v>
      </x:c>
      <x:c r="Y12" s="2">
        <x:v>0</x:v>
      </x:c>
      <x:c r="Z12" s="2">
        <x:v>0</x:v>
      </x:c>
      <x:c r="AA12" s="2">
        <x:v>0</x:v>
      </x:c>
      <x:c r="AB12" s="2">
        <x:v>0</x:v>
      </x:c>
      <x:c r="AC12" s="2" t="n">
        <x:f>-AC10*Inputs!$B$9</x:f>
        <x:v>-18000</x:v>
      </x:c>
    </x:row>
    <x:row r="13" ht="19.950000762939453" customHeight="1">
      <x:c r="A13" s="5" t="s">
        <x:v>142</x:v>
      </x:c>
      <x:c r="B13" s="1"/>
      <x:c r="C13" s="1"/>
      <x:c r="D13" s="2">
        <x:v>0</x:v>
      </x:c>
      <x:c r="E13" s="2">
        <x:v>0</x:v>
      </x:c>
      <x:c r="F13" s="2">
        <x:v>0</x:v>
      </x:c>
      <x:c r="G13" s="2">
        <x:v>0</x:v>
      </x:c>
      <x:c r="H13" s="2">
        <x:v>0</x:v>
      </x:c>
      <x:c r="I13" s="2">
        <x:v>0</x:v>
      </x:c>
      <x:c r="J13" s="2">
        <x:v>0</x:v>
      </x:c>
      <x:c r="K13" s="2">
        <x:v>0</x:v>
      </x:c>
      <x:c r="L13" s="2">
        <x:v>0</x:v>
      </x:c>
      <x:c r="M13" s="2">
        <x:v>0</x:v>
      </x:c>
      <x:c r="N13" s="2">
        <x:v>0</x:v>
      </x:c>
      <x:c r="O13" s="2">
        <x:v>0</x:v>
      </x:c>
      <x:c r="P13" s="2">
        <x:v>0</x:v>
      </x:c>
      <x:c r="Q13" s="2" t="n">
        <x:f>-Q11*Inputs!$B$9</x:f>
        <x:v>-13800</x:v>
      </x:c>
      <x:c r="R13" s="2">
        <x:v>0</x:v>
      </x:c>
      <x:c r="S13" s="2">
        <x:v>0</x:v>
      </x:c>
      <x:c r="T13" s="2">
        <x:v>0</x:v>
      </x:c>
      <x:c r="U13" s="2">
        <x:v>0</x:v>
      </x:c>
      <x:c r="V13" s="2">
        <x:v>0</x:v>
      </x:c>
      <x:c r="W13" s="2">
        <x:v>0</x:v>
      </x:c>
      <x:c r="X13" s="2">
        <x:v>0</x:v>
      </x:c>
      <x:c r="Y13" s="2">
        <x:v>0</x:v>
      </x:c>
      <x:c r="Z13" s="2">
        <x:v>0</x:v>
      </x:c>
      <x:c r="AA13" s="2">
        <x:v>0</x:v>
      </x:c>
      <x:c r="AB13" s="2">
        <x:v>0</x:v>
      </x:c>
      <x:c r="AC13" s="2" t="n">
        <x:f>-AC11*Inputs!$B$9</x:f>
        <x:v>-13800</x:v>
      </x:c>
    </x:row>
    <x:row r="14" ht="19.950000762939453" customHeight="1">
      <x:c r="A14" s="5" t="s">
        <x:v>143</x:v>
      </x:c>
      <x:c r="B14" s="1"/>
      <x:c r="C14" s="1"/>
      <x:c r="D14" s="2" t="n">
        <x:f>-D12</x:f>
        <x:v>0</x:v>
      </x:c>
      <x:c r="E14" s="2" t="n">
        <x:f t="shared" ref="E14:AC14" si="2">D14-E12</x:f>
        <x:v>0</x:v>
      </x:c>
      <x:c r="F14" s="2">
        <x:f t="shared" si="2"/>
        <x:v>0</x:v>
      </x:c>
      <x:c r="G14" s="2">
        <x:f t="shared" si="2"/>
        <x:v>0</x:v>
      </x:c>
      <x:c r="H14" s="2">
        <x:f t="shared" si="2"/>
        <x:v>0</x:v>
      </x:c>
      <x:c r="I14" s="2">
        <x:f t="shared" si="2"/>
        <x:v>0</x:v>
      </x:c>
      <x:c r="J14" s="2">
        <x:f t="shared" si="2"/>
        <x:v>0</x:v>
      </x:c>
      <x:c r="K14" s="2">
        <x:f t="shared" si="2"/>
        <x:v>0</x:v>
      </x:c>
      <x:c r="L14" s="2">
        <x:f t="shared" si="2"/>
        <x:v>0</x:v>
      </x:c>
      <x:c r="M14" s="2">
        <x:f t="shared" si="2"/>
        <x:v>0</x:v>
      </x:c>
      <x:c r="N14" s="2">
        <x:f t="shared" si="2"/>
        <x:v>0</x:v>
      </x:c>
      <x:c r="O14" s="2">
        <x:f t="shared" si="2"/>
        <x:v>0</x:v>
      </x:c>
      <x:c r="P14" s="2">
        <x:f t="shared" si="2"/>
        <x:v>0</x:v>
      </x:c>
      <x:c r="Q14" s="2">
        <x:f t="shared" si="2"/>
        <x:v>18000</x:v>
      </x:c>
      <x:c r="R14" s="2">
        <x:f t="shared" si="2"/>
        <x:v>18000</x:v>
      </x:c>
      <x:c r="S14" s="2">
        <x:f t="shared" si="2"/>
        <x:v>18000</x:v>
      </x:c>
      <x:c r="T14" s="2">
        <x:f t="shared" si="2"/>
        <x:v>18000</x:v>
      </x:c>
      <x:c r="U14" s="2">
        <x:f t="shared" si="2"/>
        <x:v>18000</x:v>
      </x:c>
      <x:c r="V14" s="2">
        <x:f t="shared" si="2"/>
        <x:v>18000</x:v>
      </x:c>
      <x:c r="W14" s="2">
        <x:f t="shared" si="2"/>
        <x:v>18000</x:v>
      </x:c>
      <x:c r="X14" s="2">
        <x:f t="shared" si="2"/>
        <x:v>18000</x:v>
      </x:c>
      <x:c r="Y14" s="2">
        <x:f t="shared" si="2"/>
        <x:v>18000</x:v>
      </x:c>
      <x:c r="Z14" s="2">
        <x:f t="shared" si="2"/>
        <x:v>18000</x:v>
      </x:c>
      <x:c r="AA14" s="2">
        <x:f t="shared" si="2"/>
        <x:v>18000</x:v>
      </x:c>
      <x:c r="AB14" s="2">
        <x:f t="shared" si="2"/>
        <x:v>18000</x:v>
      </x:c>
      <x:c r="AC14" s="2">
        <x:f t="shared" si="2"/>
        <x:v>36000</x:v>
      </x:c>
    </x:row>
    <x:row r="15" ht="19.950000762939453" customHeight="1">
      <x:c r="A15" s="5" t="s">
        <x:v>144</x:v>
      </x:c>
      <x:c r="B15" s="1"/>
      <x:c r="C15" s="1"/>
      <x:c r="D15" s="2" t="n">
        <x:f>-D13</x:f>
        <x:v>0</x:v>
      </x:c>
      <x:c r="E15" s="2" t="n">
        <x:f t="shared" ref="E15:AC15" si="3">D15-E13</x:f>
        <x:v>0</x:v>
      </x:c>
      <x:c r="F15" s="2">
        <x:f t="shared" si="3"/>
        <x:v>0</x:v>
      </x:c>
      <x:c r="G15" s="2">
        <x:f t="shared" si="3"/>
        <x:v>0</x:v>
      </x:c>
      <x:c r="H15" s="2">
        <x:f t="shared" si="3"/>
        <x:v>0</x:v>
      </x:c>
      <x:c r="I15" s="2">
        <x:f t="shared" si="3"/>
        <x:v>0</x:v>
      </x:c>
      <x:c r="J15" s="2">
        <x:f t="shared" si="3"/>
        <x:v>0</x:v>
      </x:c>
      <x:c r="K15" s="2">
        <x:f t="shared" si="3"/>
        <x:v>0</x:v>
      </x:c>
      <x:c r="L15" s="2">
        <x:f t="shared" si="3"/>
        <x:v>0</x:v>
      </x:c>
      <x:c r="M15" s="2">
        <x:f t="shared" si="3"/>
        <x:v>0</x:v>
      </x:c>
      <x:c r="N15" s="2">
        <x:f t="shared" si="3"/>
        <x:v>0</x:v>
      </x:c>
      <x:c r="O15" s="2">
        <x:f t="shared" si="3"/>
        <x:v>0</x:v>
      </x:c>
      <x:c r="P15" s="2">
        <x:f t="shared" si="3"/>
        <x:v>0</x:v>
      </x:c>
      <x:c r="Q15" s="2">
        <x:f t="shared" si="3"/>
        <x:v>13800</x:v>
      </x:c>
      <x:c r="R15" s="2">
        <x:f t="shared" si="3"/>
        <x:v>13800</x:v>
      </x:c>
      <x:c r="S15" s="2">
        <x:f t="shared" si="3"/>
        <x:v>13800</x:v>
      </x:c>
      <x:c r="T15" s="2">
        <x:f t="shared" si="3"/>
        <x:v>13800</x:v>
      </x:c>
      <x:c r="U15" s="2">
        <x:f t="shared" si="3"/>
        <x:v>13800</x:v>
      </x:c>
      <x:c r="V15" s="2">
        <x:f t="shared" si="3"/>
        <x:v>13800</x:v>
      </x:c>
      <x:c r="W15" s="2">
        <x:f t="shared" si="3"/>
        <x:v>13800</x:v>
      </x:c>
      <x:c r="X15" s="2">
        <x:f t="shared" si="3"/>
        <x:v>13800</x:v>
      </x:c>
      <x:c r="Y15" s="2">
        <x:f t="shared" si="3"/>
        <x:v>13800</x:v>
      </x:c>
      <x:c r="Z15" s="2">
        <x:f t="shared" si="3"/>
        <x:v>13800</x:v>
      </x:c>
      <x:c r="AA15" s="2">
        <x:f t="shared" si="3"/>
        <x:v>13800</x:v>
      </x:c>
      <x:c r="AB15" s="2">
        <x:f t="shared" si="3"/>
        <x:v>13800</x:v>
      </x:c>
      <x:c r="AC15" s="2">
        <x:f t="shared" si="3"/>
        <x:v>27600</x:v>
      </x:c>
    </x:row>
    <x:row r="16" ht="19.950000762939453" customHeight="1">
      <x:c r="A16" s="5" t="s">
        <x:v>145</x:v>
      </x:c>
      <x:c r="B16" s="1"/>
      <x:c r="C16" s="1"/>
      <x:c r="D16" s="2" t="n">
        <x:f t="shared" ref="D16:AC16" si="4">D10-D14</x:f>
        <x:v>43000</x:v>
      </x:c>
      <x:c r="E16" s="2">
        <x:f t="shared" si="4"/>
        <x:v>90000</x:v>
      </x:c>
      <x:c r="F16" s="2">
        <x:f t="shared" si="4"/>
        <x:v>90000</x:v>
      </x:c>
      <x:c r="G16" s="2">
        <x:f t="shared" si="4"/>
        <x:v>90000</x:v>
      </x:c>
      <x:c r="H16" s="2">
        <x:f t="shared" si="4"/>
        <x:v>90000</x:v>
      </x:c>
      <x:c r="I16" s="2">
        <x:f t="shared" si="4"/>
        <x:v>90000</x:v>
      </x:c>
      <x:c r="J16" s="2">
        <x:f t="shared" si="4"/>
        <x:v>90000</x:v>
      </x:c>
      <x:c r="K16" s="2">
        <x:f t="shared" si="4"/>
        <x:v>90000</x:v>
      </x:c>
      <x:c r="L16" s="2">
        <x:f t="shared" si="4"/>
        <x:v>90000</x:v>
      </x:c>
      <x:c r="M16" s="2">
        <x:f t="shared" si="4"/>
        <x:v>90000</x:v>
      </x:c>
      <x:c r="N16" s="2">
        <x:f t="shared" si="4"/>
        <x:v>90000</x:v>
      </x:c>
      <x:c r="O16" s="2">
        <x:f t="shared" si="4"/>
        <x:v>90000</x:v>
      </x:c>
      <x:c r="P16" s="2">
        <x:f t="shared" si="4"/>
        <x:v>90000</x:v>
      </x:c>
      <x:c r="Q16" s="2">
        <x:f t="shared" si="4"/>
        <x:v>72000</x:v>
      </x:c>
      <x:c r="R16" s="2">
        <x:f t="shared" si="4"/>
        <x:v>72000</x:v>
      </x:c>
      <x:c r="S16" s="2">
        <x:f t="shared" si="4"/>
        <x:v>72000</x:v>
      </x:c>
      <x:c r="T16" s="2">
        <x:f t="shared" si="4"/>
        <x:v>72000</x:v>
      </x:c>
      <x:c r="U16" s="2">
        <x:f t="shared" si="4"/>
        <x:v>72000</x:v>
      </x:c>
      <x:c r="V16" s="2">
        <x:f t="shared" si="4"/>
        <x:v>72000</x:v>
      </x:c>
      <x:c r="W16" s="2">
        <x:f t="shared" si="4"/>
        <x:v>72000</x:v>
      </x:c>
      <x:c r="X16" s="2">
        <x:f t="shared" si="4"/>
        <x:v>72000</x:v>
      </x:c>
      <x:c r="Y16" s="2">
        <x:f t="shared" si="4"/>
        <x:v>72000</x:v>
      </x:c>
      <x:c r="Z16" s="2">
        <x:f t="shared" si="4"/>
        <x:v>72000</x:v>
      </x:c>
      <x:c r="AA16" s="2">
        <x:f t="shared" si="4"/>
        <x:v>72000</x:v>
      </x:c>
      <x:c r="AB16" s="2">
        <x:f t="shared" si="4"/>
        <x:v>72000</x:v>
      </x:c>
      <x:c r="AC16" s="2">
        <x:f t="shared" si="4"/>
        <x:v>54000</x:v>
      </x:c>
    </x:row>
    <x:row r="17" ht="19.950000762939453" customHeight="1">
      <x:c r="A17" s="5" t="s">
        <x:v>146</x:v>
      </x:c>
      <x:c r="B17" s="1"/>
      <x:c r="C17" s="1"/>
      <x:c r="D17" s="2" t="n">
        <x:f t="shared" ref="D17:AC17" si="5">D11-D15</x:f>
        <x:v>0</x:v>
      </x:c>
      <x:c r="E17" s="2">
        <x:f t="shared" si="5"/>
        <x:v>69000</x:v>
      </x:c>
      <x:c r="F17" s="2">
        <x:f t="shared" si="5"/>
        <x:v>69000</x:v>
      </x:c>
      <x:c r="G17" s="2">
        <x:f t="shared" si="5"/>
        <x:v>69000</x:v>
      </x:c>
      <x:c r="H17" s="2">
        <x:f t="shared" si="5"/>
        <x:v>69000</x:v>
      </x:c>
      <x:c r="I17" s="2">
        <x:f t="shared" si="5"/>
        <x:v>69000</x:v>
      </x:c>
      <x:c r="J17" s="2">
        <x:f t="shared" si="5"/>
        <x:v>69000</x:v>
      </x:c>
      <x:c r="K17" s="2">
        <x:f t="shared" si="5"/>
        <x:v>69000</x:v>
      </x:c>
      <x:c r="L17" s="2">
        <x:f t="shared" si="5"/>
        <x:v>69000</x:v>
      </x:c>
      <x:c r="M17" s="2">
        <x:f t="shared" si="5"/>
        <x:v>69000</x:v>
      </x:c>
      <x:c r="N17" s="2">
        <x:f t="shared" si="5"/>
        <x:v>69000</x:v>
      </x:c>
      <x:c r="O17" s="2">
        <x:f t="shared" si="5"/>
        <x:v>69000</x:v>
      </x:c>
      <x:c r="P17" s="2">
        <x:f t="shared" si="5"/>
        <x:v>69000</x:v>
      </x:c>
      <x:c r="Q17" s="2">
        <x:f t="shared" si="5"/>
        <x:v>55200</x:v>
      </x:c>
      <x:c r="R17" s="2">
        <x:f t="shared" si="5"/>
        <x:v>55200</x:v>
      </x:c>
      <x:c r="S17" s="2">
        <x:f t="shared" si="5"/>
        <x:v>55200</x:v>
      </x:c>
      <x:c r="T17" s="2">
        <x:f t="shared" si="5"/>
        <x:v>55200</x:v>
      </x:c>
      <x:c r="U17" s="2">
        <x:f t="shared" si="5"/>
        <x:v>55200</x:v>
      </x:c>
      <x:c r="V17" s="2">
        <x:f t="shared" si="5"/>
        <x:v>55200</x:v>
      </x:c>
      <x:c r="W17" s="2">
        <x:f t="shared" si="5"/>
        <x:v>55200</x:v>
      </x:c>
      <x:c r="X17" s="2">
        <x:f t="shared" si="5"/>
        <x:v>55200</x:v>
      </x:c>
      <x:c r="Y17" s="2">
        <x:f t="shared" si="5"/>
        <x:v>55200</x:v>
      </x:c>
      <x:c r="Z17" s="2">
        <x:f t="shared" si="5"/>
        <x:v>55200</x:v>
      </x:c>
      <x:c r="AA17" s="2">
        <x:f t="shared" si="5"/>
        <x:v>55200</x:v>
      </x:c>
      <x:c r="AB17" s="2">
        <x:f t="shared" si="5"/>
        <x:v>55200</x:v>
      </x:c>
      <x:c r="AC17" s="2">
        <x:f t="shared" si="5"/>
        <x:v>41400</x:v>
      </x:c>
    </x:row>
    <x:row r="18" ht="19.950000762939453" customHeight="1">
      <x:c r="A18" s="6" t="s">
        <x:v>147</x:v>
      </x:c>
      <x:c r="B18" s="7"/>
      <x:c r="C18" s="7"/>
      <x:c r="D18" s="8" t="n">
        <x:f t="shared" ref="D18:AC18" si="6">D6+D7+D38+D12+D13+D40</x:f>
        <x:v>-41900</x:v>
      </x:c>
      <x:c r="E18" s="8">
        <x:f t="shared" si="6"/>
        <x:v>-19855</x:v>
      </x:c>
      <x:c r="F18" s="8">
        <x:f t="shared" si="6"/>
        <x:v>-28300</x:v>
      </x:c>
      <x:c r="G18" s="8">
        <x:f t="shared" si="6"/>
        <x:v>-19800</x:v>
      </x:c>
      <x:c r="H18" s="8">
        <x:f t="shared" si="6"/>
        <x:v>39640</x:v>
      </x:c>
      <x:c r="I18" s="8">
        <x:f t="shared" si="6"/>
        <x:v>-5350</x:v>
      </x:c>
      <x:c r="J18" s="8">
        <x:f t="shared" si="6"/>
        <x:v>-750</x:v>
      </x:c>
      <x:c r="K18" s="8">
        <x:f t="shared" si="6"/>
        <x:v>61640</x:v>
      </x:c>
      <x:c r="L18" s="8">
        <x:f t="shared" si="6"/>
        <x:v>31400</x:v>
      </x:c>
      <x:c r="M18" s="8">
        <x:f t="shared" si="6"/>
        <x:v>47400</x:v>
      </x:c>
      <x:c r="N18" s="8">
        <x:f t="shared" si="6"/>
        <x:v>127190</x:v>
      </x:c>
      <x:c r="O18" s="8">
        <x:f t="shared" si="6"/>
        <x:v>73400</x:v>
      </x:c>
      <x:c r="P18" s="8">
        <x:f t="shared" si="6"/>
        <x:v>72066.666666666657</x:v>
      </x:c>
      <x:c r="Q18" s="8">
        <x:f t="shared" si="6"/>
        <x:v>90567.666666666657</x:v>
      </x:c>
      <x:c r="R18" s="8">
        <x:f t="shared" si="6"/>
        <x:v>85406.666666666657</x:v>
      </x:c>
      <x:c r="S18" s="8">
        <x:f t="shared" si="6"/>
        <x:v>85406.666666666657</x:v>
      </x:c>
      <x:c r="T18" s="8">
        <x:f t="shared" si="6"/>
        <x:v>141296.66666666666</x:v>
      </x:c>
      <x:c r="U18" s="8">
        <x:f t="shared" si="6"/>
        <x:v>100080.66666666666</x:v>
      </x:c>
      <x:c r="V18" s="8">
        <x:f t="shared" si="6"/>
        <x:v>100080.66666666666</x:v>
      </x:c>
      <x:c r="W18" s="8">
        <x:f t="shared" si="6"/>
        <x:v>155970.66666666666</x:v>
      </x:c>
      <x:c r="X18" s="8">
        <x:f t="shared" si="6"/>
        <x:v>116222.06666666668</x:v>
      </x:c>
      <x:c r="Y18" s="8">
        <x:f t="shared" si="6"/>
        <x:v>116222.06666666668</x:v>
      </x:c>
      <x:c r="Z18" s="8">
        <x:f t="shared" si="6"/>
        <x:v>172112.06666666668</x:v>
      </x:c>
      <x:c r="AA18" s="8">
        <x:f t="shared" si="6"/>
        <x:v>133977.60666666669</x:v>
      </x:c>
      <x:c r="AB18" s="8">
        <x:f t="shared" si="6"/>
        <x:v>133977.60666666669</x:v>
      </x:c>
      <x:c r="AC18" s="8">
        <x:f t="shared" si="6"/>
        <x:v>107766.60666666669</x:v>
      </x:c>
    </x:row>
    <x:row r="19" ht="19.950000762939453" customHeight="1">
      <x:c r="A19" s="5" t="s">
        <x:v>148</x:v>
      </x:c>
      <x:c r="B19" s="1"/>
      <x:c r="C19" s="1"/>
      <x:c r="D19" s="2">
        <x:v>0</x:v>
      </x:c>
      <x:c r="E19" s="2">
        <x:v>0</x:v>
      </x:c>
      <x:c r="F19" s="2">
        <x:v>0</x:v>
      </x:c>
      <x:c r="G19" s="2">
        <x:v>0</x:v>
      </x:c>
      <x:c r="H19" s="2">
        <x:v>0</x:v>
      </x:c>
      <x:c r="I19" s="2">
        <x:v>0</x:v>
      </x:c>
      <x:c r="J19" s="2">
        <x:v>0</x:v>
      </x:c>
      <x:c r="K19" s="2">
        <x:v>0</x:v>
      </x:c>
      <x:c r="L19" s="2">
        <x:v>0</x:v>
      </x:c>
      <x:c r="M19" s="2">
        <x:v>0</x:v>
      </x:c>
      <x:c r="N19" s="2">
        <x:v>0</x:v>
      </x:c>
      <x:c r="O19" s="2">
        <x:v>0</x:v>
      </x:c>
      <x:c r="P19" s="2">
        <x:v>0</x:v>
      </x:c>
      <x:c r="Q19" s="2" t="n">
        <x:f>-Inputs!$B$8*MAX(0,SUM(D18:Q18)-Inputs!$B$12)</x:f>
        <x:v>-29271.51488087133</x:v>
      </x:c>
      <x:c r="R19" s="2">
        <x:v>0</x:v>
      </x:c>
      <x:c r="S19" s="2">
        <x:v>0</x:v>
      </x:c>
      <x:c r="T19" s="2">
        <x:v>0</x:v>
      </x:c>
      <x:c r="U19" s="2">
        <x:v>0</x:v>
      </x:c>
      <x:c r="V19" s="2">
        <x:v>0</x:v>
      </x:c>
      <x:c r="W19" s="2">
        <x:v>0</x:v>
      </x:c>
      <x:c r="X19" s="2">
        <x:v>0</x:v>
      </x:c>
      <x:c r="Y19" s="2">
        <x:v>0</x:v>
      </x:c>
      <x:c r="Z19" s="2">
        <x:v>0</x:v>
      </x:c>
      <x:c r="AA19" s="2">
        <x:v>0</x:v>
      </x:c>
      <x:c r="AB19" s="2">
        <x:v>0</x:v>
      </x:c>
      <x:c r="AC19" s="2" t="n">
        <x:f>-Inputs!$B$8*MAX(0,SUM(R18:AC18)-MIN(MAX(0,-SUM(D18:Q18)),0.75*MAX(0,SUM(R18:AC18)))-Inputs!$B$12)</x:f>
        <x:v>-121176.87668087134</x:v>
      </x:c>
    </x:row>
    <x:row r="20" ht="19.950000762939453" customHeight="1">
      <x:c r="A20" s="6" t="s">
        <x:v>149</x:v>
      </x:c>
      <x:c r="B20" s="7"/>
      <x:c r="C20" s="7"/>
      <x:c r="D20" s="8" t="n">
        <x:f t="shared" ref="D20:AC20" si="7">D18+D19</x:f>
        <x:v>-41900</x:v>
      </x:c>
      <x:c r="E20" s="8">
        <x:f t="shared" si="7"/>
        <x:v>-19855</x:v>
      </x:c>
      <x:c r="F20" s="8">
        <x:f t="shared" si="7"/>
        <x:v>-28300</x:v>
      </x:c>
      <x:c r="G20" s="8">
        <x:f t="shared" si="7"/>
        <x:v>-19800</x:v>
      </x:c>
      <x:c r="H20" s="8">
        <x:f t="shared" si="7"/>
        <x:v>39640</x:v>
      </x:c>
      <x:c r="I20" s="8">
        <x:f t="shared" si="7"/>
        <x:v>-5350</x:v>
      </x:c>
      <x:c r="J20" s="8">
        <x:f t="shared" si="7"/>
        <x:v>-750</x:v>
      </x:c>
      <x:c r="K20" s="8">
        <x:f t="shared" si="7"/>
        <x:v>61640</x:v>
      </x:c>
      <x:c r="L20" s="8">
        <x:f t="shared" si="7"/>
        <x:v>31400</x:v>
      </x:c>
      <x:c r="M20" s="8">
        <x:f t="shared" si="7"/>
        <x:v>47400</x:v>
      </x:c>
      <x:c r="N20" s="8">
        <x:f t="shared" si="7"/>
        <x:v>127190</x:v>
      </x:c>
      <x:c r="O20" s="8">
        <x:f t="shared" si="7"/>
        <x:v>73400</x:v>
      </x:c>
      <x:c r="P20" s="8">
        <x:f t="shared" si="7"/>
        <x:v>72066.666666666657</x:v>
      </x:c>
      <x:c r="Q20" s="8">
        <x:f t="shared" si="7"/>
        <x:v>61296.151785795329</x:v>
      </x:c>
      <x:c r="R20" s="8">
        <x:f t="shared" si="7"/>
        <x:v>85406.666666666657</x:v>
      </x:c>
      <x:c r="S20" s="8">
        <x:f t="shared" si="7"/>
        <x:v>85406.666666666657</x:v>
      </x:c>
      <x:c r="T20" s="8">
        <x:f t="shared" si="7"/>
        <x:v>141296.66666666666</x:v>
      </x:c>
      <x:c r="U20" s="8">
        <x:f t="shared" si="7"/>
        <x:v>100080.66666666666</x:v>
      </x:c>
      <x:c r="V20" s="8">
        <x:f t="shared" si="7"/>
        <x:v>100080.66666666666</x:v>
      </x:c>
      <x:c r="W20" s="8">
        <x:f t="shared" si="7"/>
        <x:v>155970.66666666666</x:v>
      </x:c>
      <x:c r="X20" s="8">
        <x:f t="shared" si="7"/>
        <x:v>116222.06666666668</x:v>
      </x:c>
      <x:c r="Y20" s="8">
        <x:f t="shared" si="7"/>
        <x:v>116222.06666666668</x:v>
      </x:c>
      <x:c r="Z20" s="8">
        <x:f t="shared" si="7"/>
        <x:v>172112.06666666668</x:v>
      </x:c>
      <x:c r="AA20" s="8">
        <x:f t="shared" si="7"/>
        <x:v>133977.60666666669</x:v>
      </x:c>
      <x:c r="AB20" s="8">
        <x:f t="shared" si="7"/>
        <x:v>133977.60666666669</x:v>
      </x:c>
      <x:c r="AC20" s="8">
        <x:f t="shared" si="7"/>
        <x:v>-13410.270014204652</x:v>
      </x:c>
    </x:row>
    <x:row r="21" ht="19.950000762939453" customHeight="1">
      <x:c r="A21" s="5" t="s">
        <x:v>50</x:v>
      </x:c>
      <x:c r="B21" s="1"/>
      <x:c r="C21" s="1"/>
      <x:c r="D21" s="2" t="n">
        <x:f>Inputs!$B$22</x:f>
        <x:v>300000</x:v>
      </x:c>
      <x:c r="E21" s="2">
        <x:v>0</x:v>
      </x:c>
      <x:c r="F21" s="50" t="n">
        <x:f>Inputs!$B$23</x:f>
        <x:v>110000</x:v>
      </x:c>
      <x:c r="G21" s="50">
        <x:v>0</x:v>
      </x:c>
      <x:c r="H21" s="2">
        <x:v>0</x:v>
      </x:c>
      <x:c r="I21" s="50" t="n">
        <x:f>Inputs!$B$24</x:f>
        <x:v>50000</x:v>
      </x:c>
      <x:c r="J21" s="50">
        <x:v>0</x:v>
      </x:c>
      <x:c r="K21" s="2">
        <x:v>0</x:v>
      </x:c>
      <x:c r="L21" s="2">
        <x:v>0</x:v>
      </x:c>
      <x:c r="M21" s="2">
        <x:v>0</x:v>
      </x:c>
      <x:c r="N21" s="2">
        <x:v>0</x:v>
      </x:c>
      <x:c r="O21" s="2">
        <x:v>0</x:v>
      </x:c>
      <x:c r="P21" s="2">
        <x:v>0</x:v>
      </x:c>
      <x:c r="Q21" s="2">
        <x:v>0</x:v>
      </x:c>
      <x:c r="R21" s="2">
        <x:v>0</x:v>
      </x:c>
      <x:c r="S21" s="2">
        <x:v>0</x:v>
      </x:c>
      <x:c r="T21" s="2">
        <x:v>0</x:v>
      </x:c>
      <x:c r="U21" s="2">
        <x:v>0</x:v>
      </x:c>
      <x:c r="V21" s="2">
        <x:v>0</x:v>
      </x:c>
      <x:c r="W21" s="2">
        <x:v>0</x:v>
      </x:c>
      <x:c r="X21" s="2">
        <x:v>0</x:v>
      </x:c>
      <x:c r="Y21" s="2">
        <x:v>0</x:v>
      </x:c>
      <x:c r="Z21" s="2">
        <x:v>0</x:v>
      </x:c>
      <x:c r="AA21" s="2">
        <x:v>0</x:v>
      </x:c>
      <x:c r="AB21" s="2">
        <x:v>0</x:v>
      </x:c>
      <x:c r="AC21" s="2">
        <x:v>0</x:v>
      </x:c>
    </x:row>
    <x:row r="22" ht="19.950000762939453" customHeight="1">
      <x:c r="A22" s="5" t="s">
        <x:v>150</x:v>
      </x:c>
      <x:c r="B22" s="1"/>
      <x:c r="C22" s="1"/>
      <x:c r="D22" s="2">
        <x:v>0</x:v>
      </x:c>
      <x:c r="E22" s="2">
        <x:v>0</x:v>
      </x:c>
      <x:c r="F22" s="2">
        <x:v>0</x:v>
      </x:c>
      <x:c r="G22" s="2">
        <x:v>0</x:v>
      </x:c>
      <x:c r="H22" s="2">
        <x:v>0</x:v>
      </x:c>
      <x:c r="I22" s="2">
        <x:v>0</x:v>
      </x:c>
      <x:c r="J22" s="2">
        <x:v>0</x:v>
      </x:c>
      <x:c r="K22" s="2">
        <x:v>0</x:v>
      </x:c>
      <x:c r="L22" s="2">
        <x:v>0</x:v>
      </x:c>
      <x:c r="M22" s="2">
        <x:v>0</x:v>
      </x:c>
      <x:c r="N22" s="2">
        <x:v>0</x:v>
      </x:c>
      <x:c r="O22" s="2">
        <x:v>0</x:v>
      </x:c>
      <x:c r="P22" s="2">
        <x:v>0</x:v>
      </x:c>
      <x:c r="Q22" s="2">
        <x:v>0</x:v>
      </x:c>
      <x:c r="R22" s="2">
        <x:v>0</x:v>
      </x:c>
      <x:c r="S22" s="2">
        <x:v>0</x:v>
      </x:c>
      <x:c r="T22" s="2">
        <x:v>0</x:v>
      </x:c>
      <x:c r="U22" s="2">
        <x:v>0</x:v>
      </x:c>
      <x:c r="V22" s="2">
        <x:v>0</x:v>
      </x:c>
      <x:c r="W22" s="2">
        <x:v>0</x:v>
      </x:c>
      <x:c r="X22" s="2">
        <x:v>0</x:v>
      </x:c>
      <x:c r="Y22" s="2">
        <x:v>0</x:v>
      </x:c>
      <x:c r="Z22" s="2">
        <x:v>0</x:v>
      </x:c>
      <x:c r="AA22" s="2">
        <x:v>0</x:v>
      </x:c>
      <x:c r="AB22" s="2">
        <x:v>0</x:v>
      </x:c>
      <x:c r="AC22" s="2">
        <x:v>0</x:v>
      </x:c>
    </x:row>
    <x:row r="23" ht="19.950000762939453" customHeight="1">
      <x:c r="A23" s="6" t="s">
        <x:v>151</x:v>
      </x:c>
      <x:c r="B23" s="7"/>
      <x:c r="C23" s="7"/>
      <x:c r="D23" s="8" t="n">
        <x:f>D21+D22</x:f>
        <x:v>300000</x:v>
      </x:c>
      <x:c r="E23" s="8" t="n">
        <x:f t="shared" ref="E23:AC23" si="8">D23+E21+E22</x:f>
        <x:v>300000</x:v>
      </x:c>
      <x:c r="F23" s="8">
        <x:f t="shared" si="8"/>
        <x:v>410000</x:v>
      </x:c>
      <x:c r="G23" s="8">
        <x:f t="shared" si="8"/>
        <x:v>410000</x:v>
      </x:c>
      <x:c r="H23" s="8">
        <x:f t="shared" si="8"/>
        <x:v>410000</x:v>
      </x:c>
      <x:c r="I23" s="8">
        <x:f t="shared" si="8"/>
        <x:v>460000</x:v>
      </x:c>
      <x:c r="J23" s="8">
        <x:f t="shared" si="8"/>
        <x:v>460000</x:v>
      </x:c>
      <x:c r="K23" s="8">
        <x:f t="shared" si="8"/>
        <x:v>460000</x:v>
      </x:c>
      <x:c r="L23" s="8">
        <x:f t="shared" si="8"/>
        <x:v>460000</x:v>
      </x:c>
      <x:c r="M23" s="8">
        <x:f t="shared" si="8"/>
        <x:v>460000</x:v>
      </x:c>
      <x:c r="N23" s="8">
        <x:f t="shared" si="8"/>
        <x:v>460000</x:v>
      </x:c>
      <x:c r="O23" s="8">
        <x:f t="shared" si="8"/>
        <x:v>460000</x:v>
      </x:c>
      <x:c r="P23" s="8">
        <x:f t="shared" si="8"/>
        <x:v>460000</x:v>
      </x:c>
      <x:c r="Q23" s="8">
        <x:f t="shared" si="8"/>
        <x:v>460000</x:v>
      </x:c>
      <x:c r="R23" s="8">
        <x:f t="shared" si="8"/>
        <x:v>460000</x:v>
      </x:c>
      <x:c r="S23" s="8">
        <x:f t="shared" si="8"/>
        <x:v>460000</x:v>
      </x:c>
      <x:c r="T23" s="8">
        <x:f t="shared" si="8"/>
        <x:v>460000</x:v>
      </x:c>
      <x:c r="U23" s="8">
        <x:f t="shared" si="8"/>
        <x:v>460000</x:v>
      </x:c>
      <x:c r="V23" s="8">
        <x:f t="shared" si="8"/>
        <x:v>460000</x:v>
      </x:c>
      <x:c r="W23" s="8">
        <x:f t="shared" si="8"/>
        <x:v>460000</x:v>
      </x:c>
      <x:c r="X23" s="8">
        <x:f t="shared" si="8"/>
        <x:v>460000</x:v>
      </x:c>
      <x:c r="Y23" s="8">
        <x:f t="shared" si="8"/>
        <x:v>460000</x:v>
      </x:c>
      <x:c r="Z23" s="8">
        <x:f t="shared" si="8"/>
        <x:v>460000</x:v>
      </x:c>
      <x:c r="AA23" s="8">
        <x:f t="shared" si="8"/>
        <x:v>460000</x:v>
      </x:c>
      <x:c r="AB23" s="8">
        <x:f t="shared" si="8"/>
        <x:v>460000</x:v>
      </x:c>
      <x:c r="AC23" s="8">
        <x:f t="shared" si="8"/>
        <x:v>460000</x:v>
      </x:c>
    </x:row>
    <x:row r="24" ht="19.950000762939453" customHeight="1">
      <x:c r="A24" s="5" t="s">
        <x:v>46</x:v>
      </x:c>
      <x:c r="B24" s="1"/>
      <x:c r="C24" s="1"/>
      <x:c r="D24" s="2">
        <x:v>0</x:v>
      </x:c>
      <x:c r="E24" s="2">
        <x:v>0</x:v>
      </x:c>
      <x:c r="F24" s="2">
        <x:v>0</x:v>
      </x:c>
      <x:c r="G24" s="2">
        <x:v>0</x:v>
      </x:c>
      <x:c r="H24" s="2">
        <x:v>0</x:v>
      </x:c>
      <x:c r="I24" s="2">
        <x:v>0</x:v>
      </x:c>
      <x:c r="J24" s="2">
        <x:v>0</x:v>
      </x:c>
      <x:c r="K24" s="2">
        <x:v>0</x:v>
      </x:c>
      <x:c r="L24" s="2">
        <x:v>0</x:v>
      </x:c>
      <x:c r="M24" s="2">
        <x:v>0</x:v>
      </x:c>
      <x:c r="N24" s="2">
        <x:v>0</x:v>
      </x:c>
      <x:c r="O24" s="2">
        <x:v>0</x:v>
      </x:c>
      <x:c r="P24" s="2">
        <x:v>0</x:v>
      </x:c>
      <x:c r="Q24" s="2">
        <x:v>0</x:v>
      </x:c>
      <x:c r="R24" s="2">
        <x:v>0</x:v>
      </x:c>
      <x:c r="S24" s="2">
        <x:v>0</x:v>
      </x:c>
      <x:c r="T24" s="2">
        <x:v>0</x:v>
      </x:c>
      <x:c r="U24" s="2">
        <x:v>0</x:v>
      </x:c>
      <x:c r="V24" s="2">
        <x:v>0</x:v>
      </x:c>
      <x:c r="W24" s="2">
        <x:v>0</x:v>
      </x:c>
      <x:c r="X24" s="2">
        <x:v>0</x:v>
      </x:c>
      <x:c r="Y24" s="2">
        <x:v>0</x:v>
      </x:c>
      <x:c r="Z24" s="2" t="n">
        <x:f>Q19</x:f>
        <x:v>-29271.51488087133</x:v>
      </x:c>
      <x:c r="AA24" s="2">
        <x:v>0</x:v>
      </x:c>
      <x:c r="AB24" s="2">
        <x:v>0</x:v>
      </x:c>
      <x:c r="AC24" s="2">
        <x:v>0</x:v>
      </x:c>
    </x:row>
    <x:row r="25" ht="19.950000762939453" customHeight="1">
      <x:c r="A25" s="5" t="s">
        <x:v>152</x:v>
      </x:c>
      <x:c r="B25" s="1"/>
      <x:c r="C25" s="1"/>
      <x:c r="D25" s="2" t="n">
        <x:f>-D19+D24</x:f>
        <x:v>0</x:v>
      </x:c>
      <x:c r="E25" s="2" t="n">
        <x:f t="shared" ref="E25:AC25" si="9">D25-E19+E24</x:f>
        <x:v>0</x:v>
      </x:c>
      <x:c r="F25" s="2">
        <x:f t="shared" si="9"/>
        <x:v>0</x:v>
      </x:c>
      <x:c r="G25" s="2">
        <x:f t="shared" si="9"/>
        <x:v>0</x:v>
      </x:c>
      <x:c r="H25" s="2">
        <x:f t="shared" si="9"/>
        <x:v>0</x:v>
      </x:c>
      <x:c r="I25" s="2">
        <x:f t="shared" si="9"/>
        <x:v>0</x:v>
      </x:c>
      <x:c r="J25" s="2">
        <x:f t="shared" si="9"/>
        <x:v>0</x:v>
      </x:c>
      <x:c r="K25" s="2">
        <x:f t="shared" si="9"/>
        <x:v>0</x:v>
      </x:c>
      <x:c r="L25" s="2">
        <x:f t="shared" si="9"/>
        <x:v>0</x:v>
      </x:c>
      <x:c r="M25" s="2">
        <x:f t="shared" si="9"/>
        <x:v>0</x:v>
      </x:c>
      <x:c r="N25" s="2">
        <x:f t="shared" si="9"/>
        <x:v>0</x:v>
      </x:c>
      <x:c r="O25" s="2">
        <x:f t="shared" si="9"/>
        <x:v>0</x:v>
      </x:c>
      <x:c r="P25" s="2">
        <x:f t="shared" si="9"/>
        <x:v>0</x:v>
      </x:c>
      <x:c r="Q25" s="2">
        <x:f t="shared" si="9"/>
        <x:v>29271.514880871331</x:v>
      </x:c>
      <x:c r="R25" s="2">
        <x:f t="shared" si="9"/>
        <x:v>29271.514880871331</x:v>
      </x:c>
      <x:c r="S25" s="2">
        <x:f t="shared" si="9"/>
        <x:v>29271.514880871331</x:v>
      </x:c>
      <x:c r="T25" s="2">
        <x:f t="shared" si="9"/>
        <x:v>29271.514880871331</x:v>
      </x:c>
      <x:c r="U25" s="2">
        <x:f t="shared" si="9"/>
        <x:v>29271.514880871331</x:v>
      </x:c>
      <x:c r="V25" s="2">
        <x:f t="shared" si="9"/>
        <x:v>29271.514880871331</x:v>
      </x:c>
      <x:c r="W25" s="2">
        <x:f t="shared" si="9"/>
        <x:v>29271.514880871331</x:v>
      </x:c>
      <x:c r="X25" s="2">
        <x:f t="shared" si="9"/>
        <x:v>29271.514880871331</x:v>
      </x:c>
      <x:c r="Y25" s="2">
        <x:f t="shared" si="9"/>
        <x:v>29271.514880871331</x:v>
      </x:c>
      <x:c r="Z25" s="2">
        <x:f t="shared" si="9"/>
        <x:v>0</x:v>
      </x:c>
      <x:c r="AA25" s="2">
        <x:f t="shared" si="9"/>
        <x:v>0</x:v>
      </x:c>
      <x:c r="AB25" s="2">
        <x:f t="shared" si="9"/>
        <x:v>0</x:v>
      </x:c>
      <x:c r="AC25" s="2">
        <x:f t="shared" si="9"/>
        <x:v>121176.87668087134</x:v>
      </x:c>
    </x:row>
    <x:row r="26" ht="19.950000762939453" customHeight="1">
      <x:c r="A26" s="5" t="s">
        <x:v>153</x:v>
      </x:c>
      <x:c r="B26" s="1"/>
      <x:c r="C26" s="1"/>
      <x:c r="D26" s="2" t="n">
        <x:f t="shared" ref="D26:AC26" si="10">D45+D46</x:f>
        <x:v>0</x:v>
      </x:c>
      <x:c r="E26" s="2">
        <x:f t="shared" si="10"/>
        <x:v>0</x:v>
      </x:c>
      <x:c r="F26" s="2">
        <x:f t="shared" si="10"/>
        <x:v>0</x:v>
      </x:c>
      <x:c r="G26" s="2">
        <x:f t="shared" si="10"/>
        <x:v>0</x:v>
      </x:c>
      <x:c r="H26" s="2">
        <x:f t="shared" si="10"/>
        <x:v>0</x:v>
      </x:c>
      <x:c r="I26" s="2">
        <x:f t="shared" si="10"/>
        <x:v>0</x:v>
      </x:c>
      <x:c r="J26" s="2">
        <x:f t="shared" si="10"/>
        <x:v>0</x:v>
      </x:c>
      <x:c r="K26" s="2">
        <x:f t="shared" si="10"/>
        <x:v>0</x:v>
      </x:c>
      <x:c r="L26" s="2">
        <x:f t="shared" si="10"/>
        <x:v>0</x:v>
      </x:c>
      <x:c r="M26" s="2">
        <x:f t="shared" si="10"/>
        <x:v>0</x:v>
      </x:c>
      <x:c r="N26" s="2">
        <x:f t="shared" si="10"/>
        <x:v>0</x:v>
      </x:c>
      <x:c r="O26" s="2">
        <x:f t="shared" si="10"/>
        <x:v>0</x:v>
      </x:c>
      <x:c r="P26" s="2">
        <x:f t="shared" si="10"/>
        <x:v>0</x:v>
      </x:c>
      <x:c r="Q26" s="2">
        <x:f t="shared" si="10"/>
        <x:v>0</x:v>
      </x:c>
      <x:c r="R26" s="2">
        <x:f t="shared" si="10"/>
        <x:v>0</x:v>
      </x:c>
      <x:c r="S26" s="2">
        <x:f t="shared" si="10"/>
        <x:v>0</x:v>
      </x:c>
      <x:c r="T26" s="2">
        <x:f t="shared" si="10"/>
        <x:v>0</x:v>
      </x:c>
      <x:c r="U26" s="2">
        <x:f t="shared" si="10"/>
        <x:v>0</x:v>
      </x:c>
      <x:c r="V26" s="2">
        <x:f t="shared" si="10"/>
        <x:v>0</x:v>
      </x:c>
      <x:c r="W26" s="2">
        <x:f t="shared" si="10"/>
        <x:v>0</x:v>
      </x:c>
      <x:c r="X26" s="2">
        <x:f t="shared" si="10"/>
        <x:v>0</x:v>
      </x:c>
      <x:c r="Y26" s="2">
        <x:f t="shared" si="10"/>
        <x:v>0</x:v>
      </x:c>
      <x:c r="Z26" s="2">
        <x:f t="shared" si="10"/>
        <x:v>0</x:v>
      </x:c>
      <x:c r="AA26" s="2">
        <x:f t="shared" si="10"/>
        <x:v>0</x:v>
      </x:c>
      <x:c r="AB26" s="2">
        <x:f t="shared" si="10"/>
        <x:v>0</x:v>
      </x:c>
      <x:c r="AC26" s="2">
        <x:f t="shared" si="10"/>
        <x:v>0</x:v>
      </x:c>
    </x:row>
    <x:row r="27" ht="19.950000762939453" customHeight="1">
      <x:c r="A27" s="6" t="s">
        <x:v>154</x:v>
      </x:c>
      <x:c r="B27" s="7"/>
      <x:c r="C27" s="7"/>
      <x:c r="D27" s="8" t="n">
        <x:f>D20+D26</x:f>
        <x:v>-41900</x:v>
      </x:c>
      <x:c r="E27" s="8" t="n">
        <x:f t="shared" ref="E27:AC27" si="11">D27+E20+E26</x:f>
        <x:v>-61755</x:v>
      </x:c>
      <x:c r="F27" s="8">
        <x:f t="shared" si="11"/>
        <x:v>-90055</x:v>
      </x:c>
      <x:c r="G27" s="8">
        <x:f t="shared" si="11"/>
        <x:v>-109855</x:v>
      </x:c>
      <x:c r="H27" s="8">
        <x:f t="shared" si="11"/>
        <x:v>-70215</x:v>
      </x:c>
      <x:c r="I27" s="8">
        <x:f t="shared" si="11"/>
        <x:v>-75565</x:v>
      </x:c>
      <x:c r="J27" s="8">
        <x:f t="shared" si="11"/>
        <x:v>-76315</x:v>
      </x:c>
      <x:c r="K27" s="8">
        <x:f t="shared" si="11"/>
        <x:v>-14675</x:v>
      </x:c>
      <x:c r="L27" s="8">
        <x:f t="shared" si="11"/>
        <x:v>16725</x:v>
      </x:c>
      <x:c r="M27" s="8">
        <x:f t="shared" si="11"/>
        <x:v>64125</x:v>
      </x:c>
      <x:c r="N27" s="8">
        <x:f t="shared" si="11"/>
        <x:v>191315</x:v>
      </x:c>
      <x:c r="O27" s="8">
        <x:f t="shared" si="11"/>
        <x:v>264715</x:v>
      </x:c>
      <x:c r="P27" s="8">
        <x:f t="shared" si="11"/>
        <x:v>336781.66666666663</x:v>
      </x:c>
      <x:c r="Q27" s="8">
        <x:f t="shared" si="11"/>
        <x:v>398077.81845246197</x:v>
      </x:c>
      <x:c r="R27" s="8">
        <x:f t="shared" si="11"/>
        <x:v>483484.4851191286</x:v>
      </x:c>
      <x:c r="S27" s="8">
        <x:f t="shared" si="11"/>
        <x:v>568891.15178579523</x:v>
      </x:c>
      <x:c r="T27" s="8">
        <x:f t="shared" si="11"/>
        <x:v>710187.81845246186</x:v>
      </x:c>
      <x:c r="U27" s="8">
        <x:f t="shared" si="11"/>
        <x:v>810268.48511912848</x:v>
      </x:c>
      <x:c r="V27" s="8">
        <x:f t="shared" si="11"/>
        <x:v>910349.15178579511</x:v>
      </x:c>
      <x:c r="W27" s="8">
        <x:f t="shared" si="11"/>
        <x:v>1066319.8184524619</x:v>
      </x:c>
      <x:c r="X27" s="8">
        <x:f t="shared" si="11"/>
        <x:v>1182541.8851191285</x:v>
      </x:c>
      <x:c r="Y27" s="8">
        <x:f t="shared" si="11"/>
        <x:v>1298763.9517857952</x:v>
      </x:c>
      <x:c r="Z27" s="8">
        <x:f t="shared" si="11"/>
        <x:v>1470876.0184524618</x:v>
      </x:c>
      <x:c r="AA27" s="8">
        <x:f t="shared" si="11"/>
        <x:v>1604853.6251191285</x:v>
      </x:c>
      <x:c r="AB27" s="8">
        <x:f t="shared" si="11"/>
        <x:v>1738831.2317857952</x:v>
      </x:c>
      <x:c r="AC27" s="8">
        <x:f t="shared" si="11"/>
        <x:v>1725420.9617715906</x:v>
      </x:c>
    </x:row>
    <x:row r="28" ht="19.950000762939453" customHeight="1">
      <x:c r="A28" s="5" t="s">
        <x:v>22</x:v>
      </x:c>
      <x:c r="B28" s="1"/>
      <x:c r="C28" s="1"/>
      <x:c r="D28" s="2" t="n">
        <x:f t="shared" ref="D28:AC28" si="12">D6+D7+D38+D24</x:f>
        <x:v>-41900</x:v>
      </x:c>
      <x:c r="E28" s="2">
        <x:f t="shared" si="12"/>
        <x:v>-19855</x:v>
      </x:c>
      <x:c r="F28" s="2">
        <x:f t="shared" si="12"/>
        <x:v>-28300</x:v>
      </x:c>
      <x:c r="G28" s="2">
        <x:f t="shared" si="12"/>
        <x:v>-19800</x:v>
      </x:c>
      <x:c r="H28" s="2">
        <x:f t="shared" si="12"/>
        <x:v>39640</x:v>
      </x:c>
      <x:c r="I28" s="2">
        <x:f t="shared" si="12"/>
        <x:v>-5350</x:v>
      </x:c>
      <x:c r="J28" s="2">
        <x:f t="shared" si="12"/>
        <x:v>-750</x:v>
      </x:c>
      <x:c r="K28" s="2">
        <x:f t="shared" si="12"/>
        <x:v>61640</x:v>
      </x:c>
      <x:c r="L28" s="2">
        <x:f t="shared" si="12"/>
        <x:v>31400</x:v>
      </x:c>
      <x:c r="M28" s="2">
        <x:f t="shared" si="12"/>
        <x:v>47400</x:v>
      </x:c>
      <x:c r="N28" s="2">
        <x:f t="shared" si="12"/>
        <x:v>127190</x:v>
      </x:c>
      <x:c r="O28" s="2">
        <x:f t="shared" si="12"/>
        <x:v>73400</x:v>
      </x:c>
      <x:c r="P28" s="2">
        <x:f t="shared" si="12"/>
        <x:v>72066.666666666657</x:v>
      </x:c>
      <x:c r="Q28" s="2">
        <x:f t="shared" si="12"/>
        <x:v>127956.66666666666</x:v>
      </x:c>
      <x:c r="R28" s="2">
        <x:f t="shared" si="12"/>
        <x:v>85406.666666666657</x:v>
      </x:c>
      <x:c r="S28" s="2">
        <x:f t="shared" si="12"/>
        <x:v>85406.666666666657</x:v>
      </x:c>
      <x:c r="T28" s="2">
        <x:f t="shared" si="12"/>
        <x:v>141296.66666666666</x:v>
      </x:c>
      <x:c r="U28" s="2">
        <x:f t="shared" si="12"/>
        <x:v>100080.66666666666</x:v>
      </x:c>
      <x:c r="V28" s="2">
        <x:f t="shared" si="12"/>
        <x:v>100080.66666666666</x:v>
      </x:c>
      <x:c r="W28" s="2">
        <x:f t="shared" si="12"/>
        <x:v>155970.66666666666</x:v>
      </x:c>
      <x:c r="X28" s="2">
        <x:f t="shared" si="12"/>
        <x:v>116222.06666666668</x:v>
      </x:c>
      <x:c r="Y28" s="2">
        <x:f t="shared" si="12"/>
        <x:v>116222.06666666668</x:v>
      </x:c>
      <x:c r="Z28" s="2">
        <x:f t="shared" si="12"/>
        <x:v>142840.55178579534</x:v>
      </x:c>
      <x:c r="AA28" s="2">
        <x:f t="shared" si="12"/>
        <x:v>133977.60666666669</x:v>
      </x:c>
      <x:c r="AB28" s="2">
        <x:f t="shared" si="12"/>
        <x:v>133977.60666666669</x:v>
      </x:c>
      <x:c r="AC28" s="2">
        <x:f t="shared" si="12"/>
        <x:v>189867.60666666669</x:v>
      </x:c>
    </x:row>
    <x:row r="29" ht="19.950000762939453" customHeight="1">
      <x:c r="A29" s="5" t="s">
        <x:v>49</x:v>
      </x:c>
      <x:c r="B29" s="1"/>
      <x:c r="C29" s="1"/>
      <x:c r="D29" s="2" t="n">
        <x:f t="shared" ref="D29:AC29" si="13">-D8-D9-D38</x:f>
        <x:v>-43000</x:v>
      </x:c>
      <x:c r="E29" s="2">
        <x:f t="shared" si="13"/>
        <x:v>-143945</x:v>
      </x:c>
      <x:c r="F29" s="2">
        <x:f t="shared" si="13"/>
        <x:v>0</x:v>
      </x:c>
      <x:c r="G29" s="2">
        <x:f t="shared" si="13"/>
        <x:v>0</x:v>
      </x:c>
      <x:c r="H29" s="2">
        <x:f t="shared" si="13"/>
        <x:v>-55890</x:v>
      </x:c>
      <x:c r="I29" s="2">
        <x:f t="shared" si="13"/>
        <x:v>0</x:v>
      </x:c>
      <x:c r="J29" s="2">
        <x:f t="shared" si="13"/>
        <x:v>0</x:v>
      </x:c>
      <x:c r="K29" s="2">
        <x:f t="shared" si="13"/>
        <x:v>-55890</x:v>
      </x:c>
      <x:c r="L29" s="2">
        <x:f t="shared" si="13"/>
        <x:v>0</x:v>
      </x:c>
      <x:c r="M29" s="2">
        <x:f t="shared" si="13"/>
        <x:v>0</x:v>
      </x:c>
      <x:c r="N29" s="2">
        <x:f t="shared" si="13"/>
        <x:v>-55890</x:v>
      </x:c>
      <x:c r="O29" s="2">
        <x:f t="shared" si="13"/>
        <x:v>0</x:v>
      </x:c>
      <x:c r="P29" s="2">
        <x:f t="shared" si="13"/>
        <x:v>0</x:v>
      </x:c>
      <x:c r="Q29" s="2">
        <x:f t="shared" si="13"/>
        <x:v>-55890</x:v>
      </x:c>
      <x:c r="R29" s="2">
        <x:f t="shared" si="13"/>
        <x:v>0</x:v>
      </x:c>
      <x:c r="S29" s="2">
        <x:f t="shared" si="13"/>
        <x:v>0</x:v>
      </x:c>
      <x:c r="T29" s="2">
        <x:f t="shared" si="13"/>
        <x:v>-55890</x:v>
      </x:c>
      <x:c r="U29" s="2">
        <x:f t="shared" si="13"/>
        <x:v>0</x:v>
      </x:c>
      <x:c r="V29" s="2">
        <x:f t="shared" si="13"/>
        <x:v>0</x:v>
      </x:c>
      <x:c r="W29" s="2">
        <x:f t="shared" si="13"/>
        <x:v>-55890</x:v>
      </x:c>
      <x:c r="X29" s="2">
        <x:f t="shared" si="13"/>
        <x:v>0</x:v>
      </x:c>
      <x:c r="Y29" s="2">
        <x:f t="shared" si="13"/>
        <x:v>0</x:v>
      </x:c>
      <x:c r="Z29" s="2">
        <x:f t="shared" si="13"/>
        <x:v>-55890</x:v>
      </x:c>
      <x:c r="AA29" s="2">
        <x:f t="shared" si="13"/>
        <x:v>0</x:v>
      </x:c>
      <x:c r="AB29" s="2">
        <x:f t="shared" si="13"/>
        <x:v>0</x:v>
      </x:c>
      <x:c r="AC29" s="2">
        <x:f t="shared" si="13"/>
        <x:v>-55890</x:v>
      </x:c>
    </x:row>
    <x:row r="30" ht="19.950000762939453" customHeight="1">
      <x:c r="A30" s="5" t="s">
        <x:v>53</x:v>
      </x:c>
      <x:c r="B30" s="1"/>
      <x:c r="C30" s="1"/>
      <x:c r="D30" s="2" t="n">
        <x:f t="shared" ref="D30:AC30" si="14">D21+D22+D26+D43</x:f>
        <x:v>300000</x:v>
      </x:c>
      <x:c r="E30" s="2">
        <x:f t="shared" si="14"/>
        <x:v>0</x:v>
      </x:c>
      <x:c r="F30" s="2">
        <x:f t="shared" si="14"/>
        <x:v>110000</x:v>
      </x:c>
      <x:c r="G30" s="2">
        <x:f t="shared" si="14"/>
        <x:v>0</x:v>
      </x:c>
      <x:c r="H30" s="2">
        <x:f t="shared" si="14"/>
        <x:v>0</x:v>
      </x:c>
      <x:c r="I30" s="2">
        <x:f t="shared" si="14"/>
        <x:v>50000</x:v>
      </x:c>
      <x:c r="J30" s="2">
        <x:f t="shared" si="14"/>
        <x:v>0</x:v>
      </x:c>
      <x:c r="K30" s="2">
        <x:f t="shared" si="14"/>
        <x:v>0</x:v>
      </x:c>
      <x:c r="L30" s="2">
        <x:f t="shared" si="14"/>
        <x:v>0</x:v>
      </x:c>
      <x:c r="M30" s="2">
        <x:f t="shared" si="14"/>
        <x:v>0</x:v>
      </x:c>
      <x:c r="N30" s="2">
        <x:f t="shared" si="14"/>
        <x:v>0</x:v>
      </x:c>
      <x:c r="O30" s="2">
        <x:f t="shared" si="14"/>
        <x:v>0</x:v>
      </x:c>
      <x:c r="P30" s="2">
        <x:f t="shared" si="14"/>
        <x:v>0</x:v>
      </x:c>
      <x:c r="Q30" s="2">
        <x:f t="shared" si="14"/>
        <x:v>0</x:v>
      </x:c>
      <x:c r="R30" s="2">
        <x:f t="shared" si="14"/>
        <x:v>0</x:v>
      </x:c>
      <x:c r="S30" s="2">
        <x:f t="shared" si="14"/>
        <x:v>0</x:v>
      </x:c>
      <x:c r="T30" s="2">
        <x:f t="shared" si="14"/>
        <x:v>0</x:v>
      </x:c>
      <x:c r="U30" s="2">
        <x:f t="shared" si="14"/>
        <x:v>0</x:v>
      </x:c>
      <x:c r="V30" s="2">
        <x:f t="shared" si="14"/>
        <x:v>0</x:v>
      </x:c>
      <x:c r="W30" s="2">
        <x:f t="shared" si="14"/>
        <x:v>0</x:v>
      </x:c>
      <x:c r="X30" s="2">
        <x:f t="shared" si="14"/>
        <x:v>0</x:v>
      </x:c>
      <x:c r="Y30" s="2">
        <x:f t="shared" si="14"/>
        <x:v>0</x:v>
      </x:c>
      <x:c r="Z30" s="2">
        <x:f t="shared" si="14"/>
        <x:v>0</x:v>
      </x:c>
      <x:c r="AA30" s="2">
        <x:f t="shared" si="14"/>
        <x:v>0</x:v>
      </x:c>
      <x:c r="AB30" s="2">
        <x:f t="shared" si="14"/>
        <x:v>0</x:v>
      </x:c>
      <x:c r="AC30" s="2">
        <x:f t="shared" si="14"/>
        <x:v>0</x:v>
      </x:c>
    </x:row>
    <x:row r="31" ht="19.950000762939453" customHeight="1">
      <x:c r="A31" s="5" t="s">
        <x:v>54</x:v>
      </x:c>
      <x:c r="B31" s="1"/>
      <x:c r="C31" s="1"/>
      <x:c r="D31" s="2" t="n">
        <x:f t="shared" ref="D31:AC31" si="15">D28+D29+D30</x:f>
        <x:v>215100</x:v>
      </x:c>
      <x:c r="E31" s="2">
        <x:f t="shared" si="15"/>
        <x:v>-163800</x:v>
      </x:c>
      <x:c r="F31" s="2">
        <x:f t="shared" si="15"/>
        <x:v>81700</x:v>
      </x:c>
      <x:c r="G31" s="2">
        <x:f t="shared" si="15"/>
        <x:v>-19800</x:v>
      </x:c>
      <x:c r="H31" s="2">
        <x:f t="shared" si="15"/>
        <x:v>-16250</x:v>
      </x:c>
      <x:c r="I31" s="2">
        <x:f t="shared" si="15"/>
        <x:v>44650</x:v>
      </x:c>
      <x:c r="J31" s="2">
        <x:f t="shared" si="15"/>
        <x:v>-750</x:v>
      </x:c>
      <x:c r="K31" s="2">
        <x:f t="shared" si="15"/>
        <x:v>5750</x:v>
      </x:c>
      <x:c r="L31" s="2">
        <x:f t="shared" si="15"/>
        <x:v>31400</x:v>
      </x:c>
      <x:c r="M31" s="2">
        <x:f t="shared" si="15"/>
        <x:v>47400</x:v>
      </x:c>
      <x:c r="N31" s="2">
        <x:f t="shared" si="15"/>
        <x:v>71300</x:v>
      </x:c>
      <x:c r="O31" s="2">
        <x:f t="shared" si="15"/>
        <x:v>73400</x:v>
      </x:c>
      <x:c r="P31" s="2">
        <x:f t="shared" si="15"/>
        <x:v>72066.666666666657</x:v>
      </x:c>
      <x:c r="Q31" s="2">
        <x:f t="shared" si="15"/>
        <x:v>72066.666666666657</x:v>
      </x:c>
      <x:c r="R31" s="2">
        <x:f t="shared" si="15"/>
        <x:v>85406.666666666657</x:v>
      </x:c>
      <x:c r="S31" s="2">
        <x:f t="shared" si="15"/>
        <x:v>85406.666666666657</x:v>
      </x:c>
      <x:c r="T31" s="2">
        <x:f t="shared" si="15"/>
        <x:v>85406.666666666657</x:v>
      </x:c>
      <x:c r="U31" s="2">
        <x:f t="shared" si="15"/>
        <x:v>100080.66666666666</x:v>
      </x:c>
      <x:c r="V31" s="2">
        <x:f t="shared" si="15"/>
        <x:v>100080.66666666666</x:v>
      </x:c>
      <x:c r="W31" s="2">
        <x:f t="shared" si="15"/>
        <x:v>100080.66666666666</x:v>
      </x:c>
      <x:c r="X31" s="2">
        <x:f t="shared" si="15"/>
        <x:v>116222.06666666668</x:v>
      </x:c>
      <x:c r="Y31" s="2">
        <x:f t="shared" si="15"/>
        <x:v>116222.06666666668</x:v>
      </x:c>
      <x:c r="Z31" s="2">
        <x:f t="shared" si="15"/>
        <x:v>86950.551785795338</x:v>
      </x:c>
      <x:c r="AA31" s="2">
        <x:f t="shared" si="15"/>
        <x:v>133977.60666666669</x:v>
      </x:c>
      <x:c r="AB31" s="2">
        <x:f t="shared" si="15"/>
        <x:v>133977.60666666669</x:v>
      </x:c>
      <x:c r="AC31" s="2">
        <x:f t="shared" si="15"/>
        <x:v>133977.60666666669</x:v>
      </x:c>
    </x:row>
    <x:row r="32" ht="19.950000762939453" customHeight="1">
      <x:c r="A32" s="5" t="s">
        <x:v>42</x:v>
      </x:c>
      <x:c r="B32" s="1"/>
      <x:c r="C32" s="1"/>
      <x:c r="D32" s="2">
        <x:v>0</x:v>
      </x:c>
      <x:c r="E32" s="2" t="n">
        <x:f t="shared" ref="E32:AC32" si="16">D33</x:f>
        <x:v>215100</x:v>
      </x:c>
      <x:c r="F32" s="2">
        <x:f t="shared" si="16"/>
        <x:v>51300</x:v>
      </x:c>
      <x:c r="G32" s="2">
        <x:f t="shared" si="16"/>
        <x:v>133000</x:v>
      </x:c>
      <x:c r="H32" s="2">
        <x:f t="shared" si="16"/>
        <x:v>113200</x:v>
      </x:c>
      <x:c r="I32" s="2">
        <x:f t="shared" si="16"/>
        <x:v>96950</x:v>
      </x:c>
      <x:c r="J32" s="2">
        <x:f t="shared" si="16"/>
        <x:v>141600</x:v>
      </x:c>
      <x:c r="K32" s="2">
        <x:f t="shared" si="16"/>
        <x:v>140850</x:v>
      </x:c>
      <x:c r="L32" s="2">
        <x:f t="shared" si="16"/>
        <x:v>146600</x:v>
      </x:c>
      <x:c r="M32" s="2">
        <x:f t="shared" si="16"/>
        <x:v>178000</x:v>
      </x:c>
      <x:c r="N32" s="2">
        <x:f t="shared" si="16"/>
        <x:v>225400</x:v>
      </x:c>
      <x:c r="O32" s="2">
        <x:f t="shared" si="16"/>
        <x:v>296700</x:v>
      </x:c>
      <x:c r="P32" s="2">
        <x:f t="shared" si="16"/>
        <x:v>370100</x:v>
      </x:c>
      <x:c r="Q32" s="2">
        <x:f t="shared" si="16"/>
        <x:v>442166.66666666663</x:v>
      </x:c>
      <x:c r="R32" s="2">
        <x:f t="shared" si="16"/>
        <x:v>514233.33333333326</x:v>
      </x:c>
      <x:c r="S32" s="2">
        <x:f t="shared" si="16"/>
        <x:v>599639.99999999988</x:v>
      </x:c>
      <x:c r="T32" s="2">
        <x:f t="shared" si="16"/>
        <x:v>685046.66666666651</x:v>
      </x:c>
      <x:c r="U32" s="2">
        <x:f t="shared" si="16"/>
        <x:v>770453.33333333314</x:v>
      </x:c>
      <x:c r="V32" s="2">
        <x:f t="shared" si="16"/>
        <x:v>870533.99999999977</x:v>
      </x:c>
      <x:c r="W32" s="2">
        <x:f t="shared" si="16"/>
        <x:v>970614.6666666664</x:v>
      </x:c>
      <x:c r="X32" s="2">
        <x:f t="shared" si="16"/>
        <x:v>1070695.333333333</x:v>
      </x:c>
      <x:c r="Y32" s="2">
        <x:f t="shared" si="16"/>
        <x:v>1186917.3999999997</x:v>
      </x:c>
      <x:c r="Z32" s="2">
        <x:f t="shared" si="16"/>
        <x:v>1303139.4666666663</x:v>
      </x:c>
      <x:c r="AA32" s="2">
        <x:f t="shared" si="16"/>
        <x:v>1390090.0184524616</x:v>
      </x:c>
      <x:c r="AB32" s="2">
        <x:f t="shared" si="16"/>
        <x:v>1524067.6251191283</x:v>
      </x:c>
      <x:c r="AC32" s="2">
        <x:f t="shared" si="16"/>
        <x:v>1658045.231785795</x:v>
      </x:c>
    </x:row>
    <x:row r="33" ht="19.950000762939453" customHeight="1">
      <x:c r="A33" s="6" t="s">
        <x:v>55</x:v>
      </x:c>
      <x:c r="B33" s="7"/>
      <x:c r="C33" s="7"/>
      <x:c r="D33" s="8" t="n">
        <x:f t="shared" ref="D33:AC33" si="17">D32+D31</x:f>
        <x:v>215100</x:v>
      </x:c>
      <x:c r="E33" s="8">
        <x:f t="shared" si="17"/>
        <x:v>51300</x:v>
      </x:c>
      <x:c r="F33" s="8">
        <x:f t="shared" si="17"/>
        <x:v>133000</x:v>
      </x:c>
      <x:c r="G33" s="8">
        <x:f t="shared" si="17"/>
        <x:v>113200</x:v>
      </x:c>
      <x:c r="H33" s="8">
        <x:f t="shared" si="17"/>
        <x:v>96950</x:v>
      </x:c>
      <x:c r="I33" s="8">
        <x:f t="shared" si="17"/>
        <x:v>141600</x:v>
      </x:c>
      <x:c r="J33" s="8">
        <x:f t="shared" si="17"/>
        <x:v>140850</x:v>
      </x:c>
      <x:c r="K33" s="8">
        <x:f t="shared" si="17"/>
        <x:v>146600</x:v>
      </x:c>
      <x:c r="L33" s="8">
        <x:f t="shared" si="17"/>
        <x:v>178000</x:v>
      </x:c>
      <x:c r="M33" s="8">
        <x:f t="shared" si="17"/>
        <x:v>225400</x:v>
      </x:c>
      <x:c r="N33" s="8">
        <x:f t="shared" si="17"/>
        <x:v>296700</x:v>
      </x:c>
      <x:c r="O33" s="8">
        <x:f t="shared" si="17"/>
        <x:v>370100</x:v>
      </x:c>
      <x:c r="P33" s="8">
        <x:f t="shared" si="17"/>
        <x:v>442166.66666666663</x:v>
      </x:c>
      <x:c r="Q33" s="8">
        <x:f t="shared" si="17"/>
        <x:v>514233.33333333326</x:v>
      </x:c>
      <x:c r="R33" s="8">
        <x:f t="shared" si="17"/>
        <x:v>599639.99999999988</x:v>
      </x:c>
      <x:c r="S33" s="8">
        <x:f t="shared" si="17"/>
        <x:v>685046.66666666651</x:v>
      </x:c>
      <x:c r="T33" s="8">
        <x:f t="shared" si="17"/>
        <x:v>770453.33333333314</x:v>
      </x:c>
      <x:c r="U33" s="8">
        <x:f t="shared" si="17"/>
        <x:v>870533.99999999977</x:v>
      </x:c>
      <x:c r="V33" s="8">
        <x:f t="shared" si="17"/>
        <x:v>970614.6666666664</x:v>
      </x:c>
      <x:c r="W33" s="8">
        <x:f t="shared" si="17"/>
        <x:v>1070695.333333333</x:v>
      </x:c>
      <x:c r="X33" s="8">
        <x:f t="shared" si="17"/>
        <x:v>1186917.3999999997</x:v>
      </x:c>
      <x:c r="Y33" s="8">
        <x:f t="shared" si="17"/>
        <x:v>1303139.4666666663</x:v>
      </x:c>
      <x:c r="Z33" s="8">
        <x:f t="shared" si="17"/>
        <x:v>1390090.0184524616</x:v>
      </x:c>
      <x:c r="AA33" s="8">
        <x:f t="shared" si="17"/>
        <x:v>1524067.6251191283</x:v>
      </x:c>
      <x:c r="AB33" s="8">
        <x:f t="shared" si="17"/>
        <x:v>1658045.231785795</x:v>
      </x:c>
      <x:c r="AC33" s="8">
        <x:f t="shared" si="17"/>
        <x:v>1792022.8384524616</x:v>
      </x:c>
    </x:row>
    <x:row r="34" ht="19.950000762939453" customHeight="1">
      <x:c r="A34" s="65" t="str">
        <x:v>Total assets</x:v>
      </x:c>
      <x:c r="B34" s="7"/>
      <x:c r="C34" s="7"/>
      <x:c r="D34" s="8" t="n">
        <x:f t="shared" ref="D34:AC34" si="18">SUM(D33,D16,D17,D42,D52)</x:f>
        <x:v>258100</x:v>
      </x:c>
      <x:c r="E34" s="8">
        <x:f t="shared" si="18"/>
        <x:v>238245</x:v>
      </x:c>
      <x:c r="F34" s="8">
        <x:f t="shared" si="18"/>
        <x:v>319945</x:v>
      </x:c>
      <x:c r="G34" s="8">
        <x:f t="shared" si="18"/>
        <x:v>300145</x:v>
      </x:c>
      <x:c r="H34" s="8">
        <x:f t="shared" si="18"/>
        <x:v>339785</x:v>
      </x:c>
      <x:c r="I34" s="8">
        <x:f t="shared" si="18"/>
        <x:v>384435</x:v>
      </x:c>
      <x:c r="J34" s="8">
        <x:f t="shared" si="18"/>
        <x:v>383685</x:v>
      </x:c>
      <x:c r="K34" s="8">
        <x:f t="shared" si="18"/>
        <x:v>445325</x:v>
      </x:c>
      <x:c r="L34" s="8">
        <x:f t="shared" si="18"/>
        <x:v>476725</x:v>
      </x:c>
      <x:c r="M34" s="8">
        <x:f t="shared" si="18"/>
        <x:v>524125</x:v>
      </x:c>
      <x:c r="N34" s="8">
        <x:f t="shared" si="18"/>
        <x:v>651315</x:v>
      </x:c>
      <x:c r="O34" s="8">
        <x:f t="shared" si="18"/>
        <x:v>724715</x:v>
      </x:c>
      <x:c r="P34" s="8">
        <x:f t="shared" si="18"/>
        <x:v>796781.66666666663</x:v>
      </x:c>
      <x:c r="Q34" s="8">
        <x:f t="shared" si="18"/>
        <x:v>887349.33333333326</x:v>
      </x:c>
      <x:c r="R34" s="8">
        <x:f t="shared" si="18"/>
        <x:v>972755.99999999988</x:v>
      </x:c>
      <x:c r="S34" s="8">
        <x:f t="shared" si="18"/>
        <x:v>1058162.6666666665</x:v>
      </x:c>
      <x:c r="T34" s="8">
        <x:f t="shared" si="18"/>
        <x:v>1199459.333333333</x:v>
      </x:c>
      <x:c r="U34" s="8">
        <x:f t="shared" si="18"/>
        <x:v>1299539.9999999998</x:v>
      </x:c>
      <x:c r="V34" s="8">
        <x:f t="shared" si="18"/>
        <x:v>1399620.6666666665</x:v>
      </x:c>
      <x:c r="W34" s="8">
        <x:f t="shared" si="18"/>
        <x:v>1555591.333333333</x:v>
      </x:c>
      <x:c r="X34" s="8">
        <x:f t="shared" si="18"/>
        <x:v>1671813.3999999997</x:v>
      </x:c>
      <x:c r="Y34" s="8">
        <x:f t="shared" si="18"/>
        <x:v>1788035.4666666663</x:v>
      </x:c>
      <x:c r="Z34" s="8">
        <x:f t="shared" si="18"/>
        <x:v>1930876.0184524616</x:v>
      </x:c>
      <x:c r="AA34" s="8">
        <x:f t="shared" si="18"/>
        <x:v>2064853.6251191283</x:v>
      </x:c>
      <x:c r="AB34" s="8">
        <x:f t="shared" si="18"/>
        <x:v>2198831.2317857947</x:v>
      </x:c>
      <x:c r="AC34" s="8">
        <x:f t="shared" si="18"/>
        <x:v>2306597.8384524616</x:v>
      </x:c>
    </x:row>
    <x:row r="35" ht="19.950000762939453" customHeight="1">
      <x:c r="A35" s="6" t="s">
        <x:v>155</x:v>
      </x:c>
      <x:c r="B35" s="7"/>
      <x:c r="C35" s="7"/>
      <x:c r="D35" s="8" t="n">
        <x:f t="shared" ref="D35:AC35" si="19">D23+D25</x:f>
        <x:v>300000</x:v>
      </x:c>
      <x:c r="E35" s="8">
        <x:f t="shared" si="19"/>
        <x:v>300000</x:v>
      </x:c>
      <x:c r="F35" s="8">
        <x:f t="shared" si="19"/>
        <x:v>410000</x:v>
      </x:c>
      <x:c r="G35" s="8">
        <x:f t="shared" si="19"/>
        <x:v>410000</x:v>
      </x:c>
      <x:c r="H35" s="8">
        <x:f t="shared" si="19"/>
        <x:v>410000</x:v>
      </x:c>
      <x:c r="I35" s="8">
        <x:f t="shared" si="19"/>
        <x:v>460000</x:v>
      </x:c>
      <x:c r="J35" s="8">
        <x:f t="shared" si="19"/>
        <x:v>460000</x:v>
      </x:c>
      <x:c r="K35" s="8">
        <x:f t="shared" si="19"/>
        <x:v>460000</x:v>
      </x:c>
      <x:c r="L35" s="8">
        <x:f t="shared" si="19"/>
        <x:v>460000</x:v>
      </x:c>
      <x:c r="M35" s="8">
        <x:f t="shared" si="19"/>
        <x:v>460000</x:v>
      </x:c>
      <x:c r="N35" s="8">
        <x:f t="shared" si="19"/>
        <x:v>460000</x:v>
      </x:c>
      <x:c r="O35" s="8">
        <x:f t="shared" si="19"/>
        <x:v>460000</x:v>
      </x:c>
      <x:c r="P35" s="8">
        <x:f t="shared" si="19"/>
        <x:v>460000</x:v>
      </x:c>
      <x:c r="Q35" s="8">
        <x:f t="shared" si="19"/>
        <x:v>489271.51488087134</x:v>
      </x:c>
      <x:c r="R35" s="8">
        <x:f t="shared" si="19"/>
        <x:v>489271.51488087134</x:v>
      </x:c>
      <x:c r="S35" s="8">
        <x:f t="shared" si="19"/>
        <x:v>489271.51488087134</x:v>
      </x:c>
      <x:c r="T35" s="8">
        <x:f t="shared" si="19"/>
        <x:v>489271.51488087134</x:v>
      </x:c>
      <x:c r="U35" s="8">
        <x:f t="shared" si="19"/>
        <x:v>489271.51488087134</x:v>
      </x:c>
      <x:c r="V35" s="8">
        <x:f t="shared" si="19"/>
        <x:v>489271.51488087134</x:v>
      </x:c>
      <x:c r="W35" s="8">
        <x:f t="shared" si="19"/>
        <x:v>489271.51488087134</x:v>
      </x:c>
      <x:c r="X35" s="8">
        <x:f t="shared" si="19"/>
        <x:v>489271.51488087134</x:v>
      </x:c>
      <x:c r="Y35" s="8">
        <x:f t="shared" si="19"/>
        <x:v>489271.51488087134</x:v>
      </x:c>
      <x:c r="Z35" s="8">
        <x:f t="shared" si="19"/>
        <x:v>460000</x:v>
      </x:c>
      <x:c r="AA35" s="8">
        <x:f t="shared" si="19"/>
        <x:v>460000</x:v>
      </x:c>
      <x:c r="AB35" s="8">
        <x:f t="shared" si="19"/>
        <x:v>460000</x:v>
      </x:c>
      <x:c r="AC35" s="8">
        <x:f t="shared" si="19"/>
        <x:v>581176.87668087136</x:v>
      </x:c>
    </x:row>
    <x:row r="36" ht="19.950000762939453" customHeight="1">
      <x:c r="A36" s="65" t="str">
        <x:v>Capital and retained results</x:v>
      </x:c>
      <x:c r="B36" s="7"/>
      <x:c r="C36" s="7"/>
      <x:c r="D36" s="8" t="n">
        <x:f t="shared" ref="D36:AC36" si="20">SUM(D27,D44,D52)</x:f>
        <x:v>-41900</x:v>
      </x:c>
      <x:c r="E36" s="8">
        <x:f t="shared" si="20"/>
        <x:v>-61755</x:v>
      </x:c>
      <x:c r="F36" s="8">
        <x:f t="shared" si="20"/>
        <x:v>-90055</x:v>
      </x:c>
      <x:c r="G36" s="8">
        <x:f t="shared" si="20"/>
        <x:v>-109855</x:v>
      </x:c>
      <x:c r="H36" s="8">
        <x:f t="shared" si="20"/>
        <x:v>-70215</x:v>
      </x:c>
      <x:c r="I36" s="8">
        <x:f t="shared" si="20"/>
        <x:v>-75565</x:v>
      </x:c>
      <x:c r="J36" s="8">
        <x:f t="shared" si="20"/>
        <x:v>-76315</x:v>
      </x:c>
      <x:c r="K36" s="8">
        <x:f t="shared" si="20"/>
        <x:v>-14675</x:v>
      </x:c>
      <x:c r="L36" s="8">
        <x:f t="shared" si="20"/>
        <x:v>16725</x:v>
      </x:c>
      <x:c r="M36" s="8">
        <x:f t="shared" si="20"/>
        <x:v>64125</x:v>
      </x:c>
      <x:c r="N36" s="8">
        <x:f t="shared" si="20"/>
        <x:v>191315</x:v>
      </x:c>
      <x:c r="O36" s="8">
        <x:f t="shared" si="20"/>
        <x:v>264715</x:v>
      </x:c>
      <x:c r="P36" s="8">
        <x:f t="shared" si="20"/>
        <x:v>336781.66666666663</x:v>
      </x:c>
      <x:c r="Q36" s="8">
        <x:f t="shared" si="20"/>
        <x:v>398077.81845246197</x:v>
      </x:c>
      <x:c r="R36" s="8">
        <x:f t="shared" si="20"/>
        <x:v>483484.4851191286</x:v>
      </x:c>
      <x:c r="S36" s="8">
        <x:f t="shared" si="20"/>
        <x:v>568891.15178579523</x:v>
      </x:c>
      <x:c r="T36" s="8">
        <x:f t="shared" si="20"/>
        <x:v>710187.81845246186</x:v>
      </x:c>
      <x:c r="U36" s="8">
        <x:f t="shared" si="20"/>
        <x:v>810268.48511912848</x:v>
      </x:c>
      <x:c r="V36" s="8">
        <x:f t="shared" si="20"/>
        <x:v>910349.15178579511</x:v>
      </x:c>
      <x:c r="W36" s="8">
        <x:f t="shared" si="20"/>
        <x:v>1066319.8184524619</x:v>
      </x:c>
      <x:c r="X36" s="8">
        <x:f t="shared" si="20"/>
        <x:v>1182541.8851191285</x:v>
      </x:c>
      <x:c r="Y36" s="8">
        <x:f t="shared" si="20"/>
        <x:v>1298763.9517857952</x:v>
      </x:c>
      <x:c r="Z36" s="8">
        <x:f t="shared" si="20"/>
        <x:v>1470876.0184524618</x:v>
      </x:c>
      <x:c r="AA36" s="8">
        <x:f t="shared" si="20"/>
        <x:v>1604853.6251191285</x:v>
      </x:c>
      <x:c r="AB36" s="8">
        <x:f t="shared" si="20"/>
        <x:v>1738831.2317857952</x:v>
      </x:c>
      <x:c r="AC36" s="8">
        <x:f t="shared" si="20"/>
        <x:v>1725420.9617715906</x:v>
      </x:c>
    </x:row>
    <x:row r="37" ht="19.950000762939453" customHeight="1">
      <x:c r="A37" s="6" t="s">
        <x:v>156</x:v>
      </x:c>
      <x:c r="B37" s="7"/>
      <x:c r="C37" s="7"/>
      <x:c r="D37" s="8" t="n">
        <x:f t="shared" ref="D37:AC37" si="21">ROUND(D34-D35-D36,2)</x:f>
        <x:v>0</x:v>
      </x:c>
      <x:c r="E37" s="8">
        <x:f t="shared" si="21"/>
        <x:v>0</x:v>
      </x:c>
      <x:c r="F37" s="8">
        <x:f t="shared" si="21"/>
        <x:v>0</x:v>
      </x:c>
      <x:c r="G37" s="8">
        <x:f t="shared" si="21"/>
        <x:v>0</x:v>
      </x:c>
      <x:c r="H37" s="8">
        <x:f t="shared" si="21"/>
        <x:v>0</x:v>
      </x:c>
      <x:c r="I37" s="8">
        <x:f t="shared" si="21"/>
        <x:v>0</x:v>
      </x:c>
      <x:c r="J37" s="8">
        <x:f t="shared" si="21"/>
        <x:v>0</x:v>
      </x:c>
      <x:c r="K37" s="8">
        <x:f t="shared" si="21"/>
        <x:v>0</x:v>
      </x:c>
      <x:c r="L37" s="8">
        <x:f t="shared" si="21"/>
        <x:v>0</x:v>
      </x:c>
      <x:c r="M37" s="8">
        <x:f t="shared" si="21"/>
        <x:v>0</x:v>
      </x:c>
      <x:c r="N37" s="8">
        <x:f t="shared" si="21"/>
        <x:v>0</x:v>
      </x:c>
      <x:c r="O37" s="8">
        <x:f t="shared" si="21"/>
        <x:v>0</x:v>
      </x:c>
      <x:c r="P37" s="8">
        <x:f t="shared" si="21"/>
        <x:v>0</x:v>
      </x:c>
      <x:c r="Q37" s="8">
        <x:f t="shared" si="21"/>
        <x:v>0</x:v>
      </x:c>
      <x:c r="R37" s="8">
        <x:f t="shared" si="21"/>
        <x:v>0</x:v>
      </x:c>
      <x:c r="S37" s="8">
        <x:f t="shared" si="21"/>
        <x:v>0</x:v>
      </x:c>
      <x:c r="T37" s="8">
        <x:f t="shared" si="21"/>
        <x:v>0</x:v>
      </x:c>
      <x:c r="U37" s="8">
        <x:f t="shared" si="21"/>
        <x:v>0</x:v>
      </x:c>
      <x:c r="V37" s="8">
        <x:f t="shared" si="21"/>
        <x:v>0</x:v>
      </x:c>
      <x:c r="W37" s="8">
        <x:f t="shared" si="21"/>
        <x:v>0</x:v>
      </x:c>
      <x:c r="X37" s="8">
        <x:f t="shared" si="21"/>
        <x:v>0</x:v>
      </x:c>
      <x:c r="Y37" s="8">
        <x:f t="shared" si="21"/>
        <x:v>0</x:v>
      </x:c>
      <x:c r="Z37" s="8">
        <x:f t="shared" si="21"/>
        <x:v>0</x:v>
      </x:c>
      <x:c r="AA37" s="8">
        <x:f t="shared" si="21"/>
        <x:v>0</x:v>
      </x:c>
      <x:c r="AB37" s="8">
        <x:f t="shared" si="21"/>
        <x:v>0</x:v>
      </x:c>
      <x:c r="AC37" s="8">
        <x:f t="shared" si="21"/>
        <x:v>0</x:v>
      </x:c>
    </x:row>
    <x:row r="38" ht="19.950000762939453" customHeight="1">
      <x:c r="A38" s="5" t="s">
        <x:v>157</x:v>
      </x:c>
      <x:c r="B38" s="1"/>
      <x:c r="C38" s="1"/>
      <x:c r="D38" s="2">
        <x:v>0</x:v>
      </x:c>
      <x:c r="E38" s="2" t="n">
        <x:f>Inputs!$B$14*SUM(D47:E47)</x:f>
        <x:v>27945</x:v>
      </x:c>
      <x:c r="F38" s="2">
        <x:v>0</x:v>
      </x:c>
      <x:c r="G38" s="2">
        <x:v>0</x:v>
      </x:c>
      <x:c r="H38" s="2" t="n">
        <x:f>Inputs!$B$14*SUM(F47:H47)</x:f>
        <x:v>55890</x:v>
      </x:c>
      <x:c r="I38" s="2">
        <x:v>0</x:v>
      </x:c>
      <x:c r="J38" s="2">
        <x:v>0</x:v>
      </x:c>
      <x:c r="K38" s="2" t="n">
        <x:f>Inputs!$B$14*SUM(I47:K47)</x:f>
        <x:v>55890</x:v>
      </x:c>
      <x:c r="L38" s="2">
        <x:v>0</x:v>
      </x:c>
      <x:c r="M38" s="2">
        <x:v>0</x:v>
      </x:c>
      <x:c r="N38" s="2" t="n">
        <x:f>Inputs!$B$14*SUM(L47:N47)</x:f>
        <x:v>55890</x:v>
      </x:c>
      <x:c r="O38" s="2">
        <x:v>0</x:v>
      </x:c>
      <x:c r="P38" s="2">
        <x:v>0</x:v>
      </x:c>
      <x:c r="Q38" s="2" t="n">
        <x:f>Inputs!$B$14*SUM(O47:Q47)</x:f>
        <x:v>55890</x:v>
      </x:c>
      <x:c r="R38" s="2">
        <x:v>0</x:v>
      </x:c>
      <x:c r="S38" s="2">
        <x:v>0</x:v>
      </x:c>
      <x:c r="T38" s="2" t="n">
        <x:f>Inputs!$B$11*SUM(R47:T47)</x:f>
        <x:v>55890</x:v>
      </x:c>
      <x:c r="U38" s="2">
        <x:v>0</x:v>
      </x:c>
      <x:c r="V38" s="2">
        <x:v>0</x:v>
      </x:c>
      <x:c r="W38" s="2" t="n">
        <x:f>Inputs!$B$11*SUM(U47:W47)</x:f>
        <x:v>55890</x:v>
      </x:c>
      <x:c r="X38" s="2">
        <x:v>0</x:v>
      </x:c>
      <x:c r="Y38" s="2">
        <x:v>0</x:v>
      </x:c>
      <x:c r="Z38" s="2" t="n">
        <x:f>Inputs!$B$11*SUM(X47:Z47)</x:f>
        <x:v>55890</x:v>
      </x:c>
      <x:c r="AA38" s="2">
        <x:v>0</x:v>
      </x:c>
      <x:c r="AB38" s="2">
        <x:v>0</x:v>
      </x:c>
      <x:c r="AC38" s="2" t="n">
        <x:f>Inputs!$B$11*SUM(AA47:AC47)</x:f>
        <x:v>55890</x:v>
      </x:c>
    </x:row>
    <x:row r="39" ht="19.950000762939453" customHeight="1">
      <x:c r="A39" s="5" t="s">
        <x:v>158</x:v>
      </x:c>
      <x:c r="B39" s="1"/>
      <x:c r="C39" s="1"/>
      <x:c r="D39" s="2" t="n">
        <x:f>D38</x:f>
        <x:v>0</x:v>
      </x:c>
      <x:c r="E39" s="2" t="n">
        <x:f t="shared" ref="E39:AC39" si="22">D39+E38</x:f>
        <x:v>27945</x:v>
      </x:c>
      <x:c r="F39" s="2">
        <x:f t="shared" si="22"/>
        <x:v>27945</x:v>
      </x:c>
      <x:c r="G39" s="2">
        <x:f t="shared" si="22"/>
        <x:v>27945</x:v>
      </x:c>
      <x:c r="H39" s="2">
        <x:f t="shared" si="22"/>
        <x:v>83835</x:v>
      </x:c>
      <x:c r="I39" s="2">
        <x:f t="shared" si="22"/>
        <x:v>83835</x:v>
      </x:c>
      <x:c r="J39" s="2">
        <x:f t="shared" si="22"/>
        <x:v>83835</x:v>
      </x:c>
      <x:c r="K39" s="2">
        <x:f t="shared" si="22"/>
        <x:v>139725</x:v>
      </x:c>
      <x:c r="L39" s="2">
        <x:f t="shared" si="22"/>
        <x:v>139725</x:v>
      </x:c>
      <x:c r="M39" s="2">
        <x:f t="shared" si="22"/>
        <x:v>139725</x:v>
      </x:c>
      <x:c r="N39" s="2">
        <x:f t="shared" si="22"/>
        <x:v>195615</x:v>
      </x:c>
      <x:c r="O39" s="2">
        <x:f t="shared" si="22"/>
        <x:v>195615</x:v>
      </x:c>
      <x:c r="P39" s="2">
        <x:f t="shared" si="22"/>
        <x:v>195615</x:v>
      </x:c>
      <x:c r="Q39" s="2">
        <x:f t="shared" si="22"/>
        <x:v>251505</x:v>
      </x:c>
      <x:c r="R39" s="2">
        <x:f t="shared" si="22"/>
        <x:v>251505</x:v>
      </x:c>
      <x:c r="S39" s="2">
        <x:f t="shared" si="22"/>
        <x:v>251505</x:v>
      </x:c>
      <x:c r="T39" s="2">
        <x:f t="shared" si="22"/>
        <x:v>307395</x:v>
      </x:c>
      <x:c r="U39" s="2">
        <x:f t="shared" si="22"/>
        <x:v>307395</x:v>
      </x:c>
      <x:c r="V39" s="2">
        <x:f t="shared" si="22"/>
        <x:v>307395</x:v>
      </x:c>
      <x:c r="W39" s="2">
        <x:f t="shared" si="22"/>
        <x:v>363285</x:v>
      </x:c>
      <x:c r="X39" s="2">
        <x:f t="shared" si="22"/>
        <x:v>363285</x:v>
      </x:c>
      <x:c r="Y39" s="2">
        <x:f t="shared" si="22"/>
        <x:v>363285</x:v>
      </x:c>
      <x:c r="Z39" s="2">
        <x:f t="shared" si="22"/>
        <x:v>419175</x:v>
      </x:c>
      <x:c r="AA39" s="2">
        <x:f t="shared" si="22"/>
        <x:v>419175</x:v>
      </x:c>
      <x:c r="AB39" s="2">
        <x:f t="shared" si="22"/>
        <x:v>419175</x:v>
      </x:c>
      <x:c r="AC39" s="2">
        <x:f t="shared" si="22"/>
        <x:v>475065</x:v>
      </x:c>
    </x:row>
    <x:row r="40" ht="19.950000762939453" customHeight="1">
      <x:c r="A40" s="5" t="s">
        <x:v>159</x:v>
      </x:c>
      <x:c r="B40" s="1"/>
      <x:c r="C40" s="1"/>
      <x:c r="D40" s="2">
        <x:v>0</x:v>
      </x:c>
      <x:c r="E40" s="2">
        <x:v>0</x:v>
      </x:c>
      <x:c r="F40" s="2">
        <x:v>0</x:v>
      </x:c>
      <x:c r="G40" s="2">
        <x:v>0</x:v>
      </x:c>
      <x:c r="H40" s="2">
        <x:v>0</x:v>
      </x:c>
      <x:c r="I40" s="2">
        <x:v>0</x:v>
      </x:c>
      <x:c r="J40" s="2">
        <x:v>0</x:v>
      </x:c>
      <x:c r="K40" s="2">
        <x:v>0</x:v>
      </x:c>
      <x:c r="L40" s="2">
        <x:v>0</x:v>
      </x:c>
      <x:c r="M40" s="2">
        <x:v>0</x:v>
      </x:c>
      <x:c r="N40" s="2">
        <x:v>0</x:v>
      </x:c>
      <x:c r="O40" s="2">
        <x:v>0</x:v>
      </x:c>
      <x:c r="P40" s="2">
        <x:v>0</x:v>
      </x:c>
      <x:c r="Q40" s="2" t="n">
        <x:f>-E39*Inputs!$B$9</x:f>
        <x:v>-5589</x:v>
      </x:c>
      <x:c r="R40" s="2">
        <x:v>0</x:v>
      </x:c>
      <x:c r="S40" s="2">
        <x:v>0</x:v>
      </x:c>
      <x:c r="T40" s="2">
        <x:v>0</x:v>
      </x:c>
      <x:c r="U40" s="2">
        <x:v>0</x:v>
      </x:c>
      <x:c r="V40" s="2">
        <x:v>0</x:v>
      </x:c>
      <x:c r="W40" s="2">
        <x:v>0</x:v>
      </x:c>
      <x:c r="X40" s="2">
        <x:v>0</x:v>
      </x:c>
      <x:c r="Y40" s="2">
        <x:v>0</x:v>
      </x:c>
      <x:c r="Z40" s="2">
        <x:v>0</x:v>
      </x:c>
      <x:c r="AA40" s="2">
        <x:v>0</x:v>
      </x:c>
      <x:c r="AB40" s="2">
        <x:v>0</x:v>
      </x:c>
      <x:c r="AC40" s="2" t="n">
        <x:f>-Q39*Inputs!$B$9</x:f>
        <x:v>-50301</x:v>
      </x:c>
    </x:row>
    <x:row r="41" ht="19.950000762939453" customHeight="1">
      <x:c r="A41" s="5" t="s">
        <x:v>160</x:v>
      </x:c>
      <x:c r="B41" s="1"/>
      <x:c r="C41" s="1"/>
      <x:c r="D41" s="2" t="n">
        <x:f>-D40</x:f>
        <x:v>0</x:v>
      </x:c>
      <x:c r="E41" s="2" t="n">
        <x:f t="shared" ref="E41:AC41" si="23">D41-E40</x:f>
        <x:v>0</x:v>
      </x:c>
      <x:c r="F41" s="2">
        <x:f t="shared" si="23"/>
        <x:v>0</x:v>
      </x:c>
      <x:c r="G41" s="2">
        <x:f t="shared" si="23"/>
        <x:v>0</x:v>
      </x:c>
      <x:c r="H41" s="2">
        <x:f t="shared" si="23"/>
        <x:v>0</x:v>
      </x:c>
      <x:c r="I41" s="2">
        <x:f t="shared" si="23"/>
        <x:v>0</x:v>
      </x:c>
      <x:c r="J41" s="2">
        <x:f t="shared" si="23"/>
        <x:v>0</x:v>
      </x:c>
      <x:c r="K41" s="2">
        <x:f t="shared" si="23"/>
        <x:v>0</x:v>
      </x:c>
      <x:c r="L41" s="2">
        <x:f t="shared" si="23"/>
        <x:v>0</x:v>
      </x:c>
      <x:c r="M41" s="2">
        <x:f t="shared" si="23"/>
        <x:v>0</x:v>
      </x:c>
      <x:c r="N41" s="2">
        <x:f t="shared" si="23"/>
        <x:v>0</x:v>
      </x:c>
      <x:c r="O41" s="2">
        <x:f t="shared" si="23"/>
        <x:v>0</x:v>
      </x:c>
      <x:c r="P41" s="2">
        <x:f t="shared" si="23"/>
        <x:v>0</x:v>
      </x:c>
      <x:c r="Q41" s="2">
        <x:f t="shared" si="23"/>
        <x:v>5589</x:v>
      </x:c>
      <x:c r="R41" s="2">
        <x:f t="shared" si="23"/>
        <x:v>5589</x:v>
      </x:c>
      <x:c r="S41" s="2">
        <x:f t="shared" si="23"/>
        <x:v>5589</x:v>
      </x:c>
      <x:c r="T41" s="2">
        <x:f t="shared" si="23"/>
        <x:v>5589</x:v>
      </x:c>
      <x:c r="U41" s="2">
        <x:f t="shared" si="23"/>
        <x:v>5589</x:v>
      </x:c>
      <x:c r="V41" s="2">
        <x:f t="shared" si="23"/>
        <x:v>5589</x:v>
      </x:c>
      <x:c r="W41" s="2">
        <x:f t="shared" si="23"/>
        <x:v>5589</x:v>
      </x:c>
      <x:c r="X41" s="2">
        <x:f t="shared" si="23"/>
        <x:v>5589</x:v>
      </x:c>
      <x:c r="Y41" s="2">
        <x:f t="shared" si="23"/>
        <x:v>5589</x:v>
      </x:c>
      <x:c r="Z41" s="2">
        <x:f t="shared" si="23"/>
        <x:v>5589</x:v>
      </x:c>
      <x:c r="AA41" s="2">
        <x:f t="shared" si="23"/>
        <x:v>5589</x:v>
      </x:c>
      <x:c r="AB41" s="2">
        <x:f t="shared" si="23"/>
        <x:v>5589</x:v>
      </x:c>
      <x:c r="AC41" s="2">
        <x:f t="shared" si="23"/>
        <x:v>55890</x:v>
      </x:c>
    </x:row>
    <x:row r="42" ht="19.950000762939453" customHeight="1">
      <x:c r="A42" s="5" t="s">
        <x:v>161</x:v>
      </x:c>
      <x:c r="B42" s="1"/>
      <x:c r="C42" s="1"/>
      <x:c r="D42" s="2" t="n">
        <x:f t="shared" ref="D42:AC42" si="24">D39-D41</x:f>
        <x:v>0</x:v>
      </x:c>
      <x:c r="E42" s="2">
        <x:f t="shared" si="24"/>
        <x:v>27945</x:v>
      </x:c>
      <x:c r="F42" s="2">
        <x:f t="shared" si="24"/>
        <x:v>27945</x:v>
      </x:c>
      <x:c r="G42" s="2">
        <x:f t="shared" si="24"/>
        <x:v>27945</x:v>
      </x:c>
      <x:c r="H42" s="2">
        <x:f t="shared" si="24"/>
        <x:v>83835</x:v>
      </x:c>
      <x:c r="I42" s="2">
        <x:f t="shared" si="24"/>
        <x:v>83835</x:v>
      </x:c>
      <x:c r="J42" s="2">
        <x:f t="shared" si="24"/>
        <x:v>83835</x:v>
      </x:c>
      <x:c r="K42" s="2">
        <x:f t="shared" si="24"/>
        <x:v>139725</x:v>
      </x:c>
      <x:c r="L42" s="2">
        <x:f t="shared" si="24"/>
        <x:v>139725</x:v>
      </x:c>
      <x:c r="M42" s="2">
        <x:f t="shared" si="24"/>
        <x:v>139725</x:v>
      </x:c>
      <x:c r="N42" s="2">
        <x:f t="shared" si="24"/>
        <x:v>195615</x:v>
      </x:c>
      <x:c r="O42" s="2">
        <x:f t="shared" si="24"/>
        <x:v>195615</x:v>
      </x:c>
      <x:c r="P42" s="2">
        <x:f t="shared" si="24"/>
        <x:v>195615</x:v>
      </x:c>
      <x:c r="Q42" s="2">
        <x:f t="shared" si="24"/>
        <x:v>245916</x:v>
      </x:c>
      <x:c r="R42" s="2">
        <x:f t="shared" si="24"/>
        <x:v>245916</x:v>
      </x:c>
      <x:c r="S42" s="2">
        <x:f t="shared" si="24"/>
        <x:v>245916</x:v>
      </x:c>
      <x:c r="T42" s="2">
        <x:f t="shared" si="24"/>
        <x:v>301806</x:v>
      </x:c>
      <x:c r="U42" s="2">
        <x:f t="shared" si="24"/>
        <x:v>301806</x:v>
      </x:c>
      <x:c r="V42" s="2">
        <x:f t="shared" si="24"/>
        <x:v>301806</x:v>
      </x:c>
      <x:c r="W42" s="2">
        <x:f t="shared" si="24"/>
        <x:v>357696</x:v>
      </x:c>
      <x:c r="X42" s="2">
        <x:f t="shared" si="24"/>
        <x:v>357696</x:v>
      </x:c>
      <x:c r="Y42" s="2">
        <x:f t="shared" si="24"/>
        <x:v>357696</x:v>
      </x:c>
      <x:c r="Z42" s="2">
        <x:f t="shared" si="24"/>
        <x:v>413586</x:v>
      </x:c>
      <x:c r="AA42" s="2">
        <x:f t="shared" si="24"/>
        <x:v>413586</x:v>
      </x:c>
      <x:c r="AB42" s="2">
        <x:f t="shared" si="24"/>
        <x:v>413586</x:v>
      </x:c>
      <x:c r="AC42" s="2">
        <x:f t="shared" si="24"/>
        <x:v>419175</x:v>
      </x:c>
    </x:row>
    <x:row r="43" ht="19.950000762939453" customHeight="1">
      <x:c r="A43" s="5" t="s">
        <x:v>162</x:v>
      </x:c>
      <x:c r="B43" s="1"/>
      <x:c r="C43" s="1"/>
      <x:c r="D43" s="2" t="n">
        <x:f>Inputs!$B$15</x:f>
        <x:v>0</x:v>
      </x:c>
      <x:c r="E43" s="2">
        <x:v>0</x:v>
      </x:c>
      <x:c r="F43" s="2">
        <x:v>0</x:v>
      </x:c>
      <x:c r="G43" s="2">
        <x:v>0</x:v>
      </x:c>
      <x:c r="H43" s="2">
        <x:v>0</x:v>
      </x:c>
      <x:c r="I43" s="2">
        <x:v>0</x:v>
      </x:c>
      <x:c r="J43" s="2">
        <x:v>0</x:v>
      </x:c>
      <x:c r="K43" s="2">
        <x:v>0</x:v>
      </x:c>
      <x:c r="L43" s="2">
        <x:v>0</x:v>
      </x:c>
      <x:c r="M43" s="2">
        <x:v>0</x:v>
      </x:c>
      <x:c r="N43" s="2">
        <x:v>0</x:v>
      </x:c>
      <x:c r="O43" s="2">
        <x:v>0</x:v>
      </x:c>
      <x:c r="P43" s="2">
        <x:v>0</x:v>
      </x:c>
      <x:c r="Q43" s="2">
        <x:v>0</x:v>
      </x:c>
      <x:c r="R43" s="2">
        <x:v>0</x:v>
      </x:c>
      <x:c r="S43" s="2">
        <x:v>0</x:v>
      </x:c>
      <x:c r="T43" s="2">
        <x:v>0</x:v>
      </x:c>
      <x:c r="U43" s="2">
        <x:v>0</x:v>
      </x:c>
      <x:c r="V43" s="2">
        <x:v>0</x:v>
      </x:c>
      <x:c r="W43" s="2">
        <x:v>0</x:v>
      </x:c>
      <x:c r="X43" s="2">
        <x:v>0</x:v>
      </x:c>
      <x:c r="Y43" s="2">
        <x:v>0</x:v>
      </x:c>
      <x:c r="Z43" s="2">
        <x:v>0</x:v>
      </x:c>
      <x:c r="AA43" s="2">
        <x:v>0</x:v>
      </x:c>
      <x:c r="AB43" s="2">
        <x:v>0</x:v>
      </x:c>
      <x:c r="AC43" s="2">
        <x:v>0</x:v>
      </x:c>
    </x:row>
    <x:row r="44" ht="19.950000762939453" customHeight="1">
      <x:c r="A44" s="5" t="s">
        <x:v>163</x:v>
      </x:c>
      <x:c r="B44" s="1"/>
      <x:c r="C44" s="1"/>
      <x:c r="D44" s="2" t="n">
        <x:f>D43</x:f>
        <x:v>0</x:v>
      </x:c>
      <x:c r="E44" s="2" t="n">
        <x:f t="shared" ref="E44:AC44" si="25">D44+E43</x:f>
        <x:v>0</x:v>
      </x:c>
      <x:c r="F44" s="2">
        <x:f t="shared" si="25"/>
        <x:v>0</x:v>
      </x:c>
      <x:c r="G44" s="2">
        <x:f t="shared" si="25"/>
        <x:v>0</x:v>
      </x:c>
      <x:c r="H44" s="2">
        <x:f t="shared" si="25"/>
        <x:v>0</x:v>
      </x:c>
      <x:c r="I44" s="2">
        <x:f t="shared" si="25"/>
        <x:v>0</x:v>
      </x:c>
      <x:c r="J44" s="2">
        <x:f t="shared" si="25"/>
        <x:v>0</x:v>
      </x:c>
      <x:c r="K44" s="2">
        <x:f t="shared" si="25"/>
        <x:v>0</x:v>
      </x:c>
      <x:c r="L44" s="2">
        <x:f t="shared" si="25"/>
        <x:v>0</x:v>
      </x:c>
      <x:c r="M44" s="2">
        <x:f t="shared" si="25"/>
        <x:v>0</x:v>
      </x:c>
      <x:c r="N44" s="2">
        <x:f t="shared" si="25"/>
        <x:v>0</x:v>
      </x:c>
      <x:c r="O44" s="2">
        <x:f t="shared" si="25"/>
        <x:v>0</x:v>
      </x:c>
      <x:c r="P44" s="2">
        <x:f t="shared" si="25"/>
        <x:v>0</x:v>
      </x:c>
      <x:c r="Q44" s="2">
        <x:f t="shared" si="25"/>
        <x:v>0</x:v>
      </x:c>
      <x:c r="R44" s="2">
        <x:f t="shared" si="25"/>
        <x:v>0</x:v>
      </x:c>
      <x:c r="S44" s="2">
        <x:f t="shared" si="25"/>
        <x:v>0</x:v>
      </x:c>
      <x:c r="T44" s="2">
        <x:f t="shared" si="25"/>
        <x:v>0</x:v>
      </x:c>
      <x:c r="U44" s="2">
        <x:f t="shared" si="25"/>
        <x:v>0</x:v>
      </x:c>
      <x:c r="V44" s="2">
        <x:f t="shared" si="25"/>
        <x:v>0</x:v>
      </x:c>
      <x:c r="W44" s="2">
        <x:f t="shared" si="25"/>
        <x:v>0</x:v>
      </x:c>
      <x:c r="X44" s="2">
        <x:f t="shared" si="25"/>
        <x:v>0</x:v>
      </x:c>
      <x:c r="Y44" s="2">
        <x:f t="shared" si="25"/>
        <x:v>0</x:v>
      </x:c>
      <x:c r="Z44" s="2">
        <x:f t="shared" si="25"/>
        <x:v>0</x:v>
      </x:c>
      <x:c r="AA44" s="2">
        <x:f t="shared" si="25"/>
        <x:v>0</x:v>
      </x:c>
      <x:c r="AB44" s="2">
        <x:f t="shared" si="25"/>
        <x:v>0</x:v>
      </x:c>
      <x:c r="AC44" s="2">
        <x:f t="shared" si="25"/>
        <x:v>0</x:v>
      </x:c>
    </x:row>
    <x:row r="45" ht="19.950000762939453" customHeight="1">
      <x:c r="A45" s="5" t="s">
        <x:v>164</x:v>
      </x:c>
      <x:c r="B45" s="1"/>
      <x:c r="C45" s="1"/>
      <x:c r="D45" s="2">
        <x:v>0</x:v>
      </x:c>
      <x:c r="E45" s="2">
        <x:v>0</x:v>
      </x:c>
      <x:c r="F45" s="2">
        <x:v>0</x:v>
      </x:c>
      <x:c r="G45" s="2">
        <x:v>0</x:v>
      </x:c>
      <x:c r="H45" s="2">
        <x:v>0</x:v>
      </x:c>
      <x:c r="I45" s="2">
        <x:v>0</x:v>
      </x:c>
      <x:c r="J45" s="2">
        <x:v>0</x:v>
      </x:c>
      <x:c r="K45" s="2">
        <x:v>0</x:v>
      </x:c>
      <x:c r="L45" s="2">
        <x:v>0</x:v>
      </x:c>
      <x:c r="M45" s="2">
        <x:v>0</x:v>
      </x:c>
      <x:c r="N45" s="2">
        <x:v>0</x:v>
      </x:c>
      <x:c r="O45" s="2">
        <x:v>0</x:v>
      </x:c>
      <x:c r="P45" s="2">
        <x:v>0</x:v>
      </x:c>
      <x:c r="Q45" s="2">
        <x:v>0</x:v>
      </x:c>
      <x:c r="R45" s="2">
        <x:v>0</x:v>
      </x:c>
      <x:c r="S45" s="2">
        <x:v>0</x:v>
      </x:c>
      <x:c r="T45" s="2">
        <x:v>0</x:v>
      </x:c>
      <x:c r="U45" s="2">
        <x:v>0</x:v>
      </x:c>
      <x:c r="V45" s="2">
        <x:v>0</x:v>
      </x:c>
      <x:c r="W45" s="2">
        <x:v>0</x:v>
      </x:c>
      <x:c r="X45" s="2">
        <x:v>0</x:v>
      </x:c>
      <x:c r="Y45" s="2">
        <x:v>0</x:v>
      </x:c>
      <x:c r="Z45" s="2">
        <x:v>0</x:v>
      </x:c>
      <x:c r="AA45" s="2">
        <x:v>0</x:v>
      </x:c>
      <x:c r="AB45" s="2">
        <x:v>0</x:v>
      </x:c>
      <x:c r="AC45" s="2" t="n">
        <x:f>-MIN(MAX(0,Inputs!$B$10),MAX(0,AB27+AC20),MAX(0,AB33+AC28+AC29+AC21+AC43-AC25-Inputs!$B$17))</x:f>
        <x:v>0</x:v>
      </x:c>
    </x:row>
    <x:row r="46" ht="19.950000762939453" customHeight="1">
      <x:c r="A46" s="5" t="s">
        <x:v>165</x:v>
      </x:c>
      <x:c r="B46" s="1"/>
      <x:c r="C46" s="1"/>
      <x:c r="D46" s="2">
        <x:v>0</x:v>
      </x:c>
      <x:c r="E46" s="2">
        <x:v>0</x:v>
      </x:c>
      <x:c r="F46" s="2">
        <x:v>0</x:v>
      </x:c>
      <x:c r="G46" s="2">
        <x:v>0</x:v>
      </x:c>
      <x:c r="H46" s="2">
        <x:v>0</x:v>
      </x:c>
      <x:c r="I46" s="2">
        <x:v>0</x:v>
      </x:c>
      <x:c r="J46" s="2">
        <x:v>0</x:v>
      </x:c>
      <x:c r="K46" s="2">
        <x:v>0</x:v>
      </x:c>
      <x:c r="L46" s="2">
        <x:v>0</x:v>
      </x:c>
      <x:c r="M46" s="2">
        <x:v>0</x:v>
      </x:c>
      <x:c r="N46" s="2">
        <x:v>0</x:v>
      </x:c>
      <x:c r="O46" s="2">
        <x:v>0</x:v>
      </x:c>
      <x:c r="P46" s="2">
        <x:v>0</x:v>
      </x:c>
      <x:c r="Q46" s="2">
        <x:v>0</x:v>
      </x:c>
      <x:c r="R46" s="2">
        <x:v>0</x:v>
      </x:c>
      <x:c r="S46" s="2">
        <x:v>0</x:v>
      </x:c>
      <x:c r="T46" s="2">
        <x:v>0</x:v>
      </x:c>
      <x:c r="U46" s="2">
        <x:v>0</x:v>
      </x:c>
      <x:c r="V46" s="2">
        <x:v>0</x:v>
      </x:c>
      <x:c r="W46" s="2">
        <x:v>0</x:v>
      </x:c>
      <x:c r="X46" s="2">
        <x:v>0</x:v>
      </x:c>
      <x:c r="Y46" s="2">
        <x:v>0</x:v>
      </x:c>
      <x:c r="Z46" s="2">
        <x:v>0</x:v>
      </x:c>
      <x:c r="AA46" s="2">
        <x:v>0</x:v>
      </x:c>
      <x:c r="AB46" s="2">
        <x:v>0</x:v>
      </x:c>
      <x:c r="AC46" s="2">
        <x:v>0</x:v>
      </x:c>
    </x:row>
    <x:row r="47" ht="19.950000762939453" customHeight="1">
      <x:c r="A47" s="5" t="s">
        <x:v>166</x:v>
      </x:c>
      <x:c r="B47" s="1"/>
      <x:c r="C47" s="1"/>
      <x:c r="D47" s="2">
        <x:v>27600</x:v>
      </x:c>
      <x:c r="E47" s="2">
        <x:v>34500</x:v>
      </x:c>
      <x:c r="F47" s="2">
        <x:v>41400</x:v>
      </x:c>
      <x:c r="G47" s="2">
        <x:v>41400</x:v>
      </x:c>
      <x:c r="H47" s="2">
        <x:v>41400</x:v>
      </x:c>
      <x:c r="I47" s="2">
        <x:v>41400</x:v>
      </x:c>
      <x:c r="J47" s="2">
        <x:v>41400</x:v>
      </x:c>
      <x:c r="K47" s="2">
        <x:v>41400</x:v>
      </x:c>
      <x:c r="L47" s="2">
        <x:v>41400</x:v>
      </x:c>
      <x:c r="M47" s="2">
        <x:v>41400</x:v>
      </x:c>
      <x:c r="N47" s="2">
        <x:v>41400</x:v>
      </x:c>
      <x:c r="O47" s="2">
        <x:v>41400</x:v>
      </x:c>
      <x:c r="P47" s="2" t="n">
        <x:f t="shared" ref="P47:AC47" si="26">$O$47</x:f>
        <x:v>41400</x:v>
      </x:c>
      <x:c r="Q47" s="2">
        <x:f t="shared" si="26"/>
        <x:v>41400</x:v>
      </x:c>
      <x:c r="R47" s="2">
        <x:f t="shared" si="26"/>
        <x:v>41400</x:v>
      </x:c>
      <x:c r="S47" s="2">
        <x:f t="shared" si="26"/>
        <x:v>41400</x:v>
      </x:c>
      <x:c r="T47" s="2">
        <x:f t="shared" si="26"/>
        <x:v>41400</x:v>
      </x:c>
      <x:c r="U47" s="2">
        <x:f t="shared" si="26"/>
        <x:v>41400</x:v>
      </x:c>
      <x:c r="V47" s="2">
        <x:f t="shared" si="26"/>
        <x:v>41400</x:v>
      </x:c>
      <x:c r="W47" s="2">
        <x:f t="shared" si="26"/>
        <x:v>41400</x:v>
      </x:c>
      <x:c r="X47" s="2">
        <x:f t="shared" si="26"/>
        <x:v>41400</x:v>
      </x:c>
      <x:c r="Y47" s="2">
        <x:f t="shared" si="26"/>
        <x:v>41400</x:v>
      </x:c>
      <x:c r="Z47" s="2">
        <x:f t="shared" si="26"/>
        <x:v>41400</x:v>
      </x:c>
      <x:c r="AA47" s="2">
        <x:f t="shared" si="26"/>
        <x:v>41400</x:v>
      </x:c>
      <x:c r="AB47" s="2">
        <x:f t="shared" si="26"/>
        <x:v>41400</x:v>
      </x:c>
      <x:c r="AC47" s="2">
        <x:f t="shared" si="26"/>
        <x:v>41400</x:v>
      </x:c>
    </x:row>
    <x:row r="48" ht="19.950000762939453" customHeight="1">
      <x:c r="A48" s="6" t="s">
        <x:v>167</x:v>
      </x:c>
      <x:c r="B48" s="7"/>
      <x:c r="C48" s="7"/>
      <x:c r="D48" s="8" t="n">
        <x:f t="shared" ref="D48:AC48" si="27">D28+D29</x:f>
        <x:v>-84900</x:v>
      </x:c>
      <x:c r="E48" s="8">
        <x:f t="shared" si="27"/>
        <x:v>-163800</x:v>
      </x:c>
      <x:c r="F48" s="8">
        <x:f t="shared" si="27"/>
        <x:v>-28300</x:v>
      </x:c>
      <x:c r="G48" s="8">
        <x:f t="shared" si="27"/>
        <x:v>-19800</x:v>
      </x:c>
      <x:c r="H48" s="8">
        <x:f t="shared" si="27"/>
        <x:v>-16250</x:v>
      </x:c>
      <x:c r="I48" s="8">
        <x:f t="shared" si="27"/>
        <x:v>-5350</x:v>
      </x:c>
      <x:c r="J48" s="8">
        <x:f t="shared" si="27"/>
        <x:v>-750</x:v>
      </x:c>
      <x:c r="K48" s="8">
        <x:f t="shared" si="27"/>
        <x:v>5750</x:v>
      </x:c>
      <x:c r="L48" s="8">
        <x:f t="shared" si="27"/>
        <x:v>31400</x:v>
      </x:c>
      <x:c r="M48" s="8">
        <x:f t="shared" si="27"/>
        <x:v>47400</x:v>
      </x:c>
      <x:c r="N48" s="8">
        <x:f t="shared" si="27"/>
        <x:v>71300</x:v>
      </x:c>
      <x:c r="O48" s="8">
        <x:f t="shared" si="27"/>
        <x:v>73400</x:v>
      </x:c>
      <x:c r="P48" s="8">
        <x:f t="shared" si="27"/>
        <x:v>72066.666666666657</x:v>
      </x:c>
      <x:c r="Q48" s="8">
        <x:f t="shared" si="27"/>
        <x:v>72066.666666666657</x:v>
      </x:c>
      <x:c r="R48" s="8">
        <x:f t="shared" si="27"/>
        <x:v>85406.666666666657</x:v>
      </x:c>
      <x:c r="S48" s="8">
        <x:f t="shared" si="27"/>
        <x:v>85406.666666666657</x:v>
      </x:c>
      <x:c r="T48" s="8">
        <x:f t="shared" si="27"/>
        <x:v>85406.666666666657</x:v>
      </x:c>
      <x:c r="U48" s="8">
        <x:f t="shared" si="27"/>
        <x:v>100080.66666666666</x:v>
      </x:c>
      <x:c r="V48" s="8">
        <x:f t="shared" si="27"/>
        <x:v>100080.66666666666</x:v>
      </x:c>
      <x:c r="W48" s="8">
        <x:f t="shared" si="27"/>
        <x:v>100080.66666666666</x:v>
      </x:c>
      <x:c r="X48" s="8">
        <x:f t="shared" si="27"/>
        <x:v>116222.06666666668</x:v>
      </x:c>
      <x:c r="Y48" s="8">
        <x:f t="shared" si="27"/>
        <x:v>116222.06666666668</x:v>
      </x:c>
      <x:c r="Z48" s="8">
        <x:f t="shared" si="27"/>
        <x:v>86950.551785795338</x:v>
      </x:c>
      <x:c r="AA48" s="8">
        <x:f t="shared" si="27"/>
        <x:v>133977.60666666669</x:v>
      </x:c>
      <x:c r="AB48" s="8">
        <x:f t="shared" si="27"/>
        <x:v>133977.60666666669</x:v>
      </x:c>
      <x:c r="AC48" s="8">
        <x:f t="shared" si="27"/>
        <x:v>133977.60666666669</x:v>
      </x:c>
    </x:row>
    <x:row r="49" ht="19.950000762939453" customHeight="1">
      <x:c r="A49" s="5" t="s">
        <x:v>168</x:v>
      </x:c>
      <x:c r="B49" s="1"/>
      <x:c r="C49" s="1"/>
      <x:c r="D49" s="2" t="n">
        <x:f>D48</x:f>
        <x:v>-84900</x:v>
      </x:c>
      <x:c r="E49" s="2" t="n">
        <x:f t="shared" ref="E49:AC49" si="28">D49+E48</x:f>
        <x:v>-248700</x:v>
      </x:c>
      <x:c r="F49" s="2">
        <x:f t="shared" si="28"/>
        <x:v>-277000</x:v>
      </x:c>
      <x:c r="G49" s="2">
        <x:f t="shared" si="28"/>
        <x:v>-296800</x:v>
      </x:c>
      <x:c r="H49" s="2">
        <x:f t="shared" si="28"/>
        <x:v>-313050</x:v>
      </x:c>
      <x:c r="I49" s="2">
        <x:f t="shared" si="28"/>
        <x:v>-318400</x:v>
      </x:c>
      <x:c r="J49" s="2">
        <x:f t="shared" si="28"/>
        <x:v>-319150</x:v>
      </x:c>
      <x:c r="K49" s="2">
        <x:f t="shared" si="28"/>
        <x:v>-313400</x:v>
      </x:c>
      <x:c r="L49" s="2">
        <x:f t="shared" si="28"/>
        <x:v>-282000</x:v>
      </x:c>
      <x:c r="M49" s="2">
        <x:f t="shared" si="28"/>
        <x:v>-234600</x:v>
      </x:c>
      <x:c r="N49" s="2">
        <x:f t="shared" si="28"/>
        <x:v>-163300</x:v>
      </x:c>
      <x:c r="O49" s="2">
        <x:f t="shared" si="28"/>
        <x:v>-89900</x:v>
      </x:c>
      <x:c r="P49" s="2">
        <x:f t="shared" si="28"/>
        <x:v>-17833.333333333343</x:v>
      </x:c>
      <x:c r="Q49" s="2">
        <x:f t="shared" si="28"/>
        <x:v>54233.333333333314</x:v>
      </x:c>
      <x:c r="R49" s="2">
        <x:f t="shared" si="28"/>
        <x:v>139639.99999999997</x:v>
      </x:c>
      <x:c r="S49" s="2">
        <x:f t="shared" si="28"/>
        <x:v>225046.66666666663</x:v>
      </x:c>
      <x:c r="T49" s="2">
        <x:f t="shared" si="28"/>
        <x:v>310453.33333333326</x:v>
      </x:c>
      <x:c r="U49" s="2">
        <x:f t="shared" si="28"/>
        <x:v>410533.99999999988</x:v>
      </x:c>
      <x:c r="V49" s="2">
        <x:f t="shared" si="28"/>
        <x:v>510614.66666666651</x:v>
      </x:c>
      <x:c r="W49" s="2">
        <x:f t="shared" si="28"/>
        <x:v>610695.33333333314</x:v>
      </x:c>
      <x:c r="X49" s="2">
        <x:f t="shared" si="28"/>
        <x:v>726917.39999999979</x:v>
      </x:c>
      <x:c r="Y49" s="2">
        <x:f t="shared" si="28"/>
        <x:v>843139.46666666644</x:v>
      </x:c>
      <x:c r="Z49" s="2">
        <x:f t="shared" si="28"/>
        <x:v>930090.01845246181</x:v>
      </x:c>
      <x:c r="AA49" s="2">
        <x:f t="shared" si="28"/>
        <x:v>1064067.6251191285</x:v>
      </x:c>
      <x:c r="AB49" s="2">
        <x:f t="shared" si="28"/>
        <x:v>1198045.2317857952</x:v>
      </x:c>
      <x:c r="AC49" s="2">
        <x:f t="shared" si="28"/>
        <x:v>1332022.8384524619</x:v>
      </x:c>
    </x:row>
    <x:row r="50" ht="19.950000762939453" customHeight="1">
      <x:c r="A50" s="5" t="s">
        <x:v>169</x:v>
      </x:c>
      <x:c r="B50" s="1"/>
      <x:c r="C50" s="1"/>
      <x:c r="D50" s="2" t="n">
        <x:f>MAX(0,D33-D25-Inputs!$B$17)</x:f>
        <x:v>165100</x:v>
      </x:c>
      <x:c r="E50" s="2" t="n">
        <x:f>MAX(0,E33-E25-Inputs!$B$17)</x:f>
        <x:v>1300</x:v>
      </x:c>
      <x:c r="F50" s="2" t="n">
        <x:f>MAX(0,F33-F25-Inputs!$B$17)</x:f>
        <x:v>83000</x:v>
      </x:c>
      <x:c r="G50" s="2" t="n">
        <x:f>MAX(0,G33-G25-Inputs!$B$17)</x:f>
        <x:v>63200</x:v>
      </x:c>
      <x:c r="H50" s="2" t="n">
        <x:f>MAX(0,H33-H25-Inputs!$B$17)</x:f>
        <x:v>46950</x:v>
      </x:c>
      <x:c r="I50" s="2" t="n">
        <x:f>MAX(0,I33-I25-Inputs!$B$17)</x:f>
        <x:v>91600</x:v>
      </x:c>
      <x:c r="J50" s="2" t="n">
        <x:f>MAX(0,J33-J25-Inputs!$B$17)</x:f>
        <x:v>90850</x:v>
      </x:c>
      <x:c r="K50" s="2" t="n">
        <x:f>MAX(0,K33-K25-Inputs!$B$17)</x:f>
        <x:v>96600</x:v>
      </x:c>
      <x:c r="L50" s="2" t="n">
        <x:f>MAX(0,L33-L25-Inputs!$B$17)</x:f>
        <x:v>128000</x:v>
      </x:c>
      <x:c r="M50" s="2" t="n">
        <x:f>MAX(0,M33-M25-Inputs!$B$17)</x:f>
        <x:v>175400</x:v>
      </x:c>
      <x:c r="N50" s="2" t="n">
        <x:f>MAX(0,N33-N25-Inputs!$B$17)</x:f>
        <x:v>246700</x:v>
      </x:c>
      <x:c r="O50" s="2" t="n">
        <x:f>MAX(0,O33-O25-Inputs!$B$17)</x:f>
        <x:v>320100</x:v>
      </x:c>
      <x:c r="P50" s="2" t="n">
        <x:f>MAX(0,P33-P25-Inputs!$B$17)</x:f>
        <x:v>392166.6666666666</x:v>
      </x:c>
      <x:c r="Q50" s="2" t="n">
        <x:f>MAX(0,Q33-Q25-Inputs!$B$17)</x:f>
        <x:v>434961.8184524619</x:v>
      </x:c>
      <x:c r="R50" s="2" t="n">
        <x:f>MAX(0,R33-R25-Inputs!$B$17)</x:f>
        <x:v>520368.4851191286</x:v>
      </x:c>
      <x:c r="S50" s="2" t="n">
        <x:f>MAX(0,S33-S25-Inputs!$B$17)</x:f>
        <x:v>605775.1517857952</x:v>
      </x:c>
      <x:c r="T50" s="2" t="n">
        <x:f>MAX(0,T33-T25-Inputs!$B$17)</x:f>
        <x:v>691181.8184524619</x:v>
      </x:c>
      <x:c r="U50" s="2" t="n">
        <x:f>MAX(0,U33-U25-Inputs!$B$17)</x:f>
        <x:v>791262.4851191285</x:v>
      </x:c>
      <x:c r="V50" s="2" t="n">
        <x:f>MAX(0,V33-V25-Inputs!$B$17)</x:f>
        <x:v>891343.1517857951</x:v>
      </x:c>
      <x:c r="W50" s="2" t="n">
        <x:f>MAX(0,W33-W25-Inputs!$B$17)</x:f>
        <x:v>991423.8184524617</x:v>
      </x:c>
      <x:c r="X50" s="2" t="n">
        <x:f>MAX(0,X33-X25-Inputs!$B$17)</x:f>
        <x:v>1107645.8851191283</x:v>
      </x:c>
      <x:c r="Y50" s="2" t="n">
        <x:f>MAX(0,Y33-Y25-Inputs!$B$17)</x:f>
        <x:v>1223867.951785795</x:v>
      </x:c>
      <x:c r="Z50" s="2" t="n">
        <x:f>MAX(0,Z33-Z25-Inputs!$B$17)</x:f>
        <x:v>1340090.0184524616</x:v>
      </x:c>
      <x:c r="AA50" s="2" t="n">
        <x:f>MAX(0,AA33-AA25-Inputs!$B$17)</x:f>
        <x:v>1474067.6251191283</x:v>
      </x:c>
      <x:c r="AB50" s="2" t="n">
        <x:f>MAX(0,AB33-AB25-Inputs!$B$17)</x:f>
        <x:v>1608045.231785795</x:v>
      </x:c>
      <x:c r="AC50" s="2" t="n">
        <x:f>MAX(0,AC33-AC25-Inputs!$B$17)</x:f>
        <x:v>1620845.9617715904</x:v>
      </x:c>
    </x:row>
    <x:row r="51" ht="19.950000762939453" customHeight="1">
      <x:c r="A51" s="64" t="str">
        <x:v>Founder resources recognised in this forecast</x:v>
      </x:c>
      <x:c r="B51" s="9"/>
      <x:c r="C51" s="9"/>
      <x:c r="D51" s="51">
        <x:v>0</x:v>
      </x:c>
      <x:c r="E51" s="11">
        <x:v>0</x:v>
      </x:c>
      <x:c r="F51" s="11">
        <x:v>0</x:v>
      </x:c>
      <x:c r="G51" s="11">
        <x:v>0</x:v>
      </x:c>
      <x:c r="H51" s="11">
        <x:v>0</x:v>
      </x:c>
      <x:c r="I51" s="11">
        <x:v>0</x:v>
      </x:c>
      <x:c r="J51" s="11">
        <x:v>0</x:v>
      </x:c>
      <x:c r="K51" s="11">
        <x:v>0</x:v>
      </x:c>
      <x:c r="L51" s="11">
        <x:v>0</x:v>
      </x:c>
      <x:c r="M51" s="11">
        <x:v>0</x:v>
      </x:c>
      <x:c r="N51" s="11">
        <x:v>0</x:v>
      </x:c>
      <x:c r="O51" s="11">
        <x:v>0</x:v>
      </x:c>
      <x:c r="P51" s="11">
        <x:v>0</x:v>
      </x:c>
      <x:c r="Q51" s="11">
        <x:v>0</x:v>
      </x:c>
      <x:c r="R51" s="11">
        <x:v>0</x:v>
      </x:c>
      <x:c r="S51" s="11">
        <x:v>0</x:v>
      </x:c>
      <x:c r="T51" s="11">
        <x:v>0</x:v>
      </x:c>
      <x:c r="U51" s="11">
        <x:v>0</x:v>
      </x:c>
      <x:c r="V51" s="11">
        <x:v>0</x:v>
      </x:c>
      <x:c r="W51" s="11">
        <x:v>0</x:v>
      </x:c>
      <x:c r="X51" s="11">
        <x:v>0</x:v>
      </x:c>
      <x:c r="Y51" s="11">
        <x:v>0</x:v>
      </x:c>
      <x:c r="Z51" s="11">
        <x:v>0</x:v>
      </x:c>
      <x:c r="AA51" s="11">
        <x:v>0</x:v>
      </x:c>
      <x:c r="AB51" s="11">
        <x:v>0</x:v>
      </x:c>
      <x:c r="AC51" s="11">
        <x:v>0</x:v>
      </x:c>
    </x:row>
    <x:row r="52" ht="19.950000762939453" customHeight="1">
      <x:c r="A52" s="65" t="str">
        <x:v>Founder assets recognised in this forecast</x:v>
      </x:c>
      <x:c r="B52" s="13"/>
      <x:c r="C52" s="13"/>
      <x:c r="D52" s="14" t="n">
        <x:f>D51</x:f>
        <x:v>0</x:v>
      </x:c>
      <x:c r="E52" s="14" t="n">
        <x:f t="shared" ref="E52:AC52" si="29">D52+E51</x:f>
        <x:v>0</x:v>
      </x:c>
      <x:c r="F52" s="14">
        <x:f t="shared" si="29"/>
        <x:v>0</x:v>
      </x:c>
      <x:c r="G52" s="14">
        <x:f t="shared" si="29"/>
        <x:v>0</x:v>
      </x:c>
      <x:c r="H52" s="14">
        <x:f t="shared" si="29"/>
        <x:v>0</x:v>
      </x:c>
      <x:c r="I52" s="14">
        <x:f t="shared" si="29"/>
        <x:v>0</x:v>
      </x:c>
      <x:c r="J52" s="14">
        <x:f t="shared" si="29"/>
        <x:v>0</x:v>
      </x:c>
      <x:c r="K52" s="14">
        <x:f t="shared" si="29"/>
        <x:v>0</x:v>
      </x:c>
      <x:c r="L52" s="14">
        <x:f t="shared" si="29"/>
        <x:v>0</x:v>
      </x:c>
      <x:c r="M52" s="14">
        <x:f t="shared" si="29"/>
        <x:v>0</x:v>
      </x:c>
      <x:c r="N52" s="14">
        <x:f t="shared" si="29"/>
        <x:v>0</x:v>
      </x:c>
      <x:c r="O52" s="14">
        <x:f t="shared" si="29"/>
        <x:v>0</x:v>
      </x:c>
      <x:c r="P52" s="14">
        <x:f t="shared" si="29"/>
        <x:v>0</x:v>
      </x:c>
      <x:c r="Q52" s="14">
        <x:f t="shared" si="29"/>
        <x:v>0</x:v>
      </x:c>
      <x:c r="R52" s="14">
        <x:f t="shared" si="29"/>
        <x:v>0</x:v>
      </x:c>
      <x:c r="S52" s="14">
        <x:f t="shared" si="29"/>
        <x:v>0</x:v>
      </x:c>
      <x:c r="T52" s="14">
        <x:f t="shared" si="29"/>
        <x:v>0</x:v>
      </x:c>
      <x:c r="U52" s="14">
        <x:f t="shared" si="29"/>
        <x:v>0</x:v>
      </x:c>
      <x:c r="V52" s="14">
        <x:f t="shared" si="29"/>
        <x:v>0</x:v>
      </x:c>
      <x:c r="W52" s="14">
        <x:f t="shared" si="29"/>
        <x:v>0</x:v>
      </x:c>
      <x:c r="X52" s="14">
        <x:f t="shared" si="29"/>
        <x:v>0</x:v>
      </x:c>
      <x:c r="Y52" s="14">
        <x:f t="shared" si="29"/>
        <x:v>0</x:v>
      </x:c>
      <x:c r="Z52" s="14">
        <x:f t="shared" si="29"/>
        <x:v>0</x:v>
      </x:c>
      <x:c r="AA52" s="14">
        <x:f t="shared" si="29"/>
        <x:v>0</x:v>
      </x:c>
      <x:c r="AB52" s="14">
        <x:f t="shared" si="29"/>
        <x:v>0</x:v>
      </x:c>
      <x:c r="AC52" s="14">
        <x:f t="shared" si="29"/>
        <x:v>0</x:v>
      </x:c>
    </x:row>
  </x:sheetData>
  <x:pageMargins left="0.7" right="0.7" top="0.75" bottom="0.75" header="0.3" footer="0.3"/>
  <x:legacyDrawing xmlns:r="http://schemas.openxmlformats.org/officeDocument/2006/relationships" r:id="R0dda4579e0e04ec1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3.800000190734863"/>
  <x:cols>
    <x:col min="1" max="1" width="55" customWidth="1"/>
    <x:col min="2" max="3" width="4" customWidth="1"/>
    <x:col min="4" max="29" width="15" customWidth="1"/>
  </x:cols>
  <x:sheetData>
    <x:row r="1" ht="28.049999237060547" customHeight="1">
      <x:c r="A1" s="3" t="s">
        <x:v>170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</x:row>
    <x:row r="2" ht="28.049999237060547" customHeight="1">
      <x:c r="A2" s="9" t="s">
        <x:v>171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  <x:c r="W2" s="9"/>
      <x:c r="X2" s="9"/>
      <x:c r="Y2" s="9"/>
      <x:c r="Z2" s="9"/>
      <x:c r="AA2" s="9"/>
      <x:c r="AB2" s="9"/>
      <x:c r="AC2" s="9"/>
    </x:row>
    <x:row r="3">
      <x:c r="A3" s="4" t="s">
        <x:v>107</x:v>
      </x:c>
      <x:c r="B3" s="4"/>
      <x:c r="C3" s="4"/>
      <x:c r="D3" s="4">
        <x:v>1</x:v>
      </x:c>
      <x:c r="E3" s="4">
        <x:v>2</x:v>
      </x:c>
      <x:c r="F3" s="4">
        <x:v>3</x:v>
      </x:c>
      <x:c r="G3" s="4">
        <x:v>4</x:v>
      </x:c>
      <x:c r="H3" s="4">
        <x:v>5</x:v>
      </x:c>
      <x:c r="I3" s="4">
        <x:v>6</x:v>
      </x:c>
      <x:c r="J3" s="4">
        <x:v>7</x:v>
      </x:c>
      <x:c r="K3" s="4">
        <x:v>8</x:v>
      </x:c>
      <x:c r="L3" s="4">
        <x:v>9</x:v>
      </x:c>
      <x:c r="M3" s="4">
        <x:v>10</x:v>
      </x:c>
      <x:c r="N3" s="4">
        <x:v>11</x:v>
      </x:c>
      <x:c r="O3" s="4">
        <x:v>12</x:v>
      </x:c>
      <x:c r="P3" s="4">
        <x:v>13</x:v>
      </x:c>
      <x:c r="Q3" s="4">
        <x:v>14</x:v>
      </x:c>
      <x:c r="R3" s="4">
        <x:v>15</x:v>
      </x:c>
      <x:c r="S3" s="4">
        <x:v>16</x:v>
      </x:c>
      <x:c r="T3" s="4">
        <x:v>17</x:v>
      </x:c>
      <x:c r="U3" s="4">
        <x:v>18</x:v>
      </x:c>
      <x:c r="V3" s="4">
        <x:v>19</x:v>
      </x:c>
      <x:c r="W3" s="4">
        <x:v>20</x:v>
      </x:c>
      <x:c r="X3" s="4">
        <x:v>21</x:v>
      </x:c>
      <x:c r="Y3" s="4">
        <x:v>22</x:v>
      </x:c>
      <x:c r="Z3" s="4">
        <x:v>23</x:v>
      </x:c>
      <x:c r="AA3" s="4">
        <x:v>24</x:v>
      </x:c>
      <x:c r="AB3" s="4">
        <x:v>25</x:v>
      </x:c>
      <x:c r="AC3" s="4">
        <x:v>26</x:v>
      </x:c>
    </x:row>
    <x:row r="4">
      <x:c r="A4" s="4" t="s">
        <x:v>108</x:v>
      </x:c>
      <x:c r="B4" s="4"/>
      <x:c r="C4" s="4"/>
      <x:c r="D4" s="4" t="s">
        <x:v>109</x:v>
      </x:c>
      <x:c r="E4" s="4" t="s">
        <x:v>110</x:v>
      </x:c>
      <x:c r="F4" s="4" t="s">
        <x:v>111</x:v>
      </x:c>
      <x:c r="G4" s="4" t="s">
        <x:v>112</x:v>
      </x:c>
      <x:c r="H4" s="4" t="s">
        <x:v>113</x:v>
      </x:c>
      <x:c r="I4" s="4" t="s">
        <x:v>114</x:v>
      </x:c>
      <x:c r="J4" s="4" t="s">
        <x:v>115</x:v>
      </x:c>
      <x:c r="K4" s="4" t="s">
        <x:v>116</x:v>
      </x:c>
      <x:c r="L4" s="4" t="s">
        <x:v>117</x:v>
      </x:c>
      <x:c r="M4" s="4" t="s">
        <x:v>118</x:v>
      </x:c>
      <x:c r="N4" s="4" t="s">
        <x:v>119</x:v>
      </x:c>
      <x:c r="O4" s="4" t="s">
        <x:v>120</x:v>
      </x:c>
      <x:c r="P4" s="4" t="s">
        <x:v>121</x:v>
      </x:c>
      <x:c r="Q4" s="4" t="s">
        <x:v>122</x:v>
      </x:c>
      <x:c r="R4" s="4" t="s">
        <x:v>123</x:v>
      </x:c>
      <x:c r="S4" s="4" t="s">
        <x:v>124</x:v>
      </x:c>
      <x:c r="T4" s="4" t="s">
        <x:v>125</x:v>
      </x:c>
      <x:c r="U4" s="4" t="s">
        <x:v>126</x:v>
      </x:c>
      <x:c r="V4" s="4" t="s">
        <x:v>127</x:v>
      </x:c>
      <x:c r="W4" s="4" t="s">
        <x:v>128</x:v>
      </x:c>
      <x:c r="X4" s="4" t="s">
        <x:v>129</x:v>
      </x:c>
      <x:c r="Y4" s="4" t="s">
        <x:v>130</x:v>
      </x:c>
      <x:c r="Z4" s="4" t="s">
        <x:v>131</x:v>
      </x:c>
      <x:c r="AA4" s="4" t="s">
        <x:v>132</x:v>
      </x:c>
      <x:c r="AB4" s="4" t="s">
        <x:v>133</x:v>
      </x:c>
      <x:c r="AC4" s="4" t="s">
        <x:v>134</x:v>
      </x:c>
    </x:row>
    <x:row r="5" ht="19.950000762939453" customHeight="1">
      <x:c r="A5" s="5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</x:row>
    <x:row r="6" ht="19.950000762939453" customHeight="1">
      <x:c r="A6" s="5" t="s">
        <x:v>135</x:v>
      </x:c>
      <x:c r="B6" s="1"/>
      <x:c r="C6" s="1"/>
      <x:c r="D6" s="2" t="n">
        <x:f>'Base Monthly'!D6*(1-Inputs!$B$20)</x:f>
        <x:v>0</x:v>
      </x:c>
      <x:c r="E6" s="2" t="n">
        <x:f>'Base Monthly'!E6*(1-Inputs!$B$20)</x:f>
        <x:v>0</x:v>
      </x:c>
      <x:c r="F6" s="2" t="n">
        <x:f>'Base Monthly'!F6*(1-Inputs!$B$20)</x:f>
        <x:v>18320</x:v>
      </x:c>
      <x:c r="G6" s="2" t="n">
        <x:f>'Base Monthly'!G6*(1-Inputs!$B$20)</x:f>
        <x:v>25120</x:v>
      </x:c>
      <x:c r="H6" s="2" t="n">
        <x:f>'Base Monthly'!H6*(1-Inputs!$B$20)</x:f>
        <x:v>33440</x:v>
      </x:c>
      <x:c r="I6" s="2" t="n">
        <x:f>'Base Monthly'!I6*(1-Inputs!$B$20)</x:f>
        <x:v>39760</x:v>
      </x:c>
      <x:c r="J6" s="2" t="n">
        <x:f>'Base Monthly'!J6*(1-Inputs!$B$20)</x:f>
        <x:v>43440</x:v>
      </x:c>
      <x:c r="K6" s="2" t="n">
        <x:f>'Base Monthly'!K6*(1-Inputs!$B$20)</x:f>
        <x:v>48640</x:v>
      </x:c>
      <x:c r="L6" s="2" t="n">
        <x:f>'Base Monthly'!L6*(1-Inputs!$B$20)</x:f>
        <x:v>74720</x:v>
      </x:c>
      <x:c r="M6" s="2" t="n">
        <x:f>'Base Monthly'!M6*(1-Inputs!$B$20)</x:f>
        <x:v>87520</x:v>
      </x:c>
      <x:c r="N6" s="2" t="n">
        <x:f>'Base Monthly'!N6*(1-Inputs!$B$20)</x:f>
        <x:v>106640</x:v>
      </x:c>
      <x:c r="O6" s="2" t="n">
        <x:f>'Base Monthly'!O6*(1-Inputs!$B$20)</x:f>
        <x:v>106720</x:v>
      </x:c>
      <x:c r="P6" s="2" t="n">
        <x:f>'Base Monthly'!P6*(1-Inputs!$B$20)</x:f>
        <x:v>106720</x:v>
      </x:c>
      <x:c r="Q6" s="2" t="n">
        <x:f>'Base Monthly'!Q6*(1-Inputs!$B$20)</x:f>
        <x:v>106720</x:v>
      </x:c>
      <x:c r="R6" s="2" t="n">
        <x:f>'Base Monthly'!R6*(1-Inputs!$B$20)</x:f>
        <x:v>117392</x:v>
      </x:c>
      <x:c r="S6" s="2" t="n">
        <x:f>'Base Monthly'!S6*(1-Inputs!$B$20)</x:f>
        <x:v>117392</x:v>
      </x:c>
      <x:c r="T6" s="2" t="n">
        <x:f>'Base Monthly'!T6*(1-Inputs!$B$20)</x:f>
        <x:v>117392</x:v>
      </x:c>
      <x:c r="U6" s="2" t="n">
        <x:f>'Base Monthly'!U6*(1-Inputs!$B$20)</x:f>
        <x:v>129131.20000000001</x:v>
      </x:c>
      <x:c r="V6" s="2" t="n">
        <x:f>'Base Monthly'!V6*(1-Inputs!$B$20)</x:f>
        <x:v>129131.20000000001</x:v>
      </x:c>
      <x:c r="W6" s="2" t="n">
        <x:f>'Base Monthly'!W6*(1-Inputs!$B$20)</x:f>
        <x:v>129131.20000000001</x:v>
      </x:c>
      <x:c r="X6" s="2" t="n">
        <x:f>'Base Monthly'!X6*(1-Inputs!$B$20)</x:f>
        <x:v>142044.32000000004</x:v>
      </x:c>
      <x:c r="Y6" s="2" t="n">
        <x:f>'Base Monthly'!Y6*(1-Inputs!$B$20)</x:f>
        <x:v>142044.32000000004</x:v>
      </x:c>
      <x:c r="Z6" s="2" t="n">
        <x:f>'Base Monthly'!Z6*(1-Inputs!$B$20)</x:f>
        <x:v>142044.32000000004</x:v>
      </x:c>
      <x:c r="AA6" s="2" t="n">
        <x:f>'Base Monthly'!AA6*(1-Inputs!$B$20)</x:f>
        <x:v>156248.75200000004</x:v>
      </x:c>
      <x:c r="AB6" s="2" t="n">
        <x:f>'Base Monthly'!AB6*(1-Inputs!$B$20)</x:f>
        <x:v>156248.75200000004</x:v>
      </x:c>
      <x:c r="AC6" s="2" t="n">
        <x:f>'Base Monthly'!AC6*(1-Inputs!$B$20)</x:f>
        <x:v>156248.75200000004</x:v>
      </x:c>
    </x:row>
    <x:row r="7" ht="19.950000762939453" customHeight="1">
      <x:c r="A7" s="5" t="s">
        <x:v>136</x:v>
      </x:c>
      <x:c r="B7" s="1"/>
      <x:c r="C7" s="1"/>
      <x:c r="D7" s="2" t="n">
        <x:f>'Base Monthly'!D7*(1+Inputs!$B$21)</x:f>
        <x:v>-46090.00000000001</x:v>
      </x:c>
      <x:c r="E7" s="2" t="n">
        <x:f>'Base Monthly'!E7*(1+Inputs!$B$21)</x:f>
        <x:v>-52580.00000000001</x:v>
      </x:c>
      <x:c r="F7" s="2" t="n">
        <x:f>'Base Monthly'!F7*(1+Inputs!$B$21)</x:f>
        <x:v>-56320.00000000001</x:v>
      </x:c>
      <x:c r="G7" s="2" t="n">
        <x:f>'Base Monthly'!G7*(1+Inputs!$B$21)</x:f>
        <x:v>-56320.00000000001</x:v>
      </x:c>
      <x:c r="H7" s="2" t="n">
        <x:f>'Base Monthly'!H7*(1+Inputs!$B$21)</x:f>
        <x:v>-63855.00000000001</x:v>
      </x:c>
      <x:c r="I7" s="2" t="n">
        <x:f>'Base Monthly'!I7*(1+Inputs!$B$21)</x:f>
        <x:v>-60555.00000000001</x:v>
      </x:c>
      <x:c r="J7" s="2" t="n">
        <x:f>'Base Monthly'!J7*(1+Inputs!$B$21)</x:f>
        <x:v>-60555.00000000001</x:v>
      </x:c>
      <x:c r="K7" s="2" t="n">
        <x:f>'Base Monthly'!K7*(1+Inputs!$B$21)</x:f>
        <x:v>-60555.00000000001</x:v>
      </x:c>
      <x:c r="L7" s="2" t="n">
        <x:f>'Base Monthly'!L7*(1+Inputs!$B$21)</x:f>
        <x:v>-68200</x:v>
      </x:c>
      <x:c r="M7" s="2" t="n">
        <x:f>'Base Monthly'!M7*(1+Inputs!$B$21)</x:f>
        <x:v>-68200</x:v>
      </x:c>
      <x:c r="N7" s="2" t="n">
        <x:f>'Base Monthly'!N7*(1+Inputs!$B$21)</x:f>
        <x:v>-68200</x:v>
      </x:c>
      <x:c r="O7" s="2" t="n">
        <x:f>'Base Monthly'!O7*(1+Inputs!$B$21)</x:f>
        <x:v>-66000</x:v>
      </x:c>
      <x:c r="P7" s="2" t="n">
        <x:f>'Base Monthly'!P7*(1+Inputs!$B$21)</x:f>
        <x:v>-67466.66666666667</x:v>
      </x:c>
      <x:c r="Q7" s="2" t="n">
        <x:f>'Base Monthly'!Q7*(1+Inputs!$B$21)</x:f>
        <x:v>-67466.66666666667</x:v>
      </x:c>
      <x:c r="R7" s="2" t="n">
        <x:f>'Base Monthly'!R7*(1+Inputs!$B$21)</x:f>
        <x:v>-67466.66666666667</x:v>
      </x:c>
      <x:c r="S7" s="2" t="n">
        <x:f>'Base Monthly'!S7*(1+Inputs!$B$21)</x:f>
        <x:v>-67466.66666666667</x:v>
      </x:c>
      <x:c r="T7" s="2" t="n">
        <x:f>'Base Monthly'!T7*(1+Inputs!$B$21)</x:f>
        <x:v>-67466.66666666667</x:v>
      </x:c>
      <x:c r="U7" s="2" t="n">
        <x:f>'Base Monthly'!U7*(1+Inputs!$B$21)</x:f>
        <x:v>-67466.66666666667</x:v>
      </x:c>
      <x:c r="V7" s="2" t="n">
        <x:f>'Base Monthly'!V7*(1+Inputs!$B$21)</x:f>
        <x:v>-67466.66666666667</x:v>
      </x:c>
      <x:c r="W7" s="2" t="n">
        <x:f>'Base Monthly'!W7*(1+Inputs!$B$21)</x:f>
        <x:v>-67466.66666666667</x:v>
      </x:c>
      <x:c r="X7" s="2" t="n">
        <x:f>'Base Monthly'!X7*(1+Inputs!$B$21)</x:f>
        <x:v>-67466.66666666667</x:v>
      </x:c>
      <x:c r="Y7" s="2" t="n">
        <x:f>'Base Monthly'!Y7*(1+Inputs!$B$21)</x:f>
        <x:v>-67466.66666666667</x:v>
      </x:c>
      <x:c r="Z7" s="2" t="n">
        <x:f>'Base Monthly'!Z7*(1+Inputs!$B$21)</x:f>
        <x:v>-67466.66666666667</x:v>
      </x:c>
      <x:c r="AA7" s="2" t="n">
        <x:f>'Base Monthly'!AA7*(1+Inputs!$B$21)</x:f>
        <x:v>-67466.66666666667</x:v>
      </x:c>
      <x:c r="AB7" s="2" t="n">
        <x:f>'Base Monthly'!AB7*(1+Inputs!$B$21)</x:f>
        <x:v>-67466.66666666667</x:v>
      </x:c>
      <x:c r="AC7" s="2" t="n">
        <x:f>'Base Monthly'!AC7*(1+Inputs!$B$21)</x:f>
        <x:v>-67466.66666666667</x:v>
      </x:c>
    </x:row>
    <x:row r="8" ht="19.950000762939453" customHeight="1">
      <x:c r="A8" s="5" t="s">
        <x:v>137</x:v>
      </x:c>
      <x:c r="B8" s="1"/>
      <x:c r="C8" s="1"/>
      <x:c r="D8" s="2">
        <x:v>43000</x:v>
      </x:c>
      <x:c r="E8" s="2">
        <x:v>47000</x:v>
      </x:c>
      <x:c r="F8" s="2">
        <x:v>0</x:v>
      </x:c>
      <x:c r="G8" s="2">
        <x:v>0</x:v>
      </x:c>
      <x:c r="H8" s="2">
        <x:v>0</x:v>
      </x:c>
      <x:c r="I8" s="2">
        <x:v>0</x:v>
      </x:c>
      <x:c r="J8" s="2">
        <x:v>0</x:v>
      </x:c>
      <x:c r="K8" s="2">
        <x:v>0</x:v>
      </x:c>
      <x:c r="L8" s="2">
        <x:v>0</x:v>
      </x:c>
      <x:c r="M8" s="2">
        <x:v>0</x:v>
      </x:c>
      <x:c r="N8" s="2">
        <x:v>0</x:v>
      </x:c>
      <x:c r="O8" s="2">
        <x:v>0</x:v>
      </x:c>
      <x:c r="P8" s="2">
        <x:v>0</x:v>
      </x:c>
      <x:c r="Q8" s="2">
        <x:v>0</x:v>
      </x:c>
      <x:c r="R8" s="2">
        <x:v>0</x:v>
      </x:c>
      <x:c r="S8" s="2">
        <x:v>0</x:v>
      </x:c>
      <x:c r="T8" s="2">
        <x:v>0</x:v>
      </x:c>
      <x:c r="U8" s="2">
        <x:v>0</x:v>
      </x:c>
      <x:c r="V8" s="2">
        <x:v>0</x:v>
      </x:c>
      <x:c r="W8" s="2">
        <x:v>0</x:v>
      </x:c>
      <x:c r="X8" s="2">
        <x:v>0</x:v>
      </x:c>
      <x:c r="Y8" s="2">
        <x:v>0</x:v>
      </x:c>
      <x:c r="Z8" s="2">
        <x:v>0</x:v>
      </x:c>
      <x:c r="AA8" s="2">
        <x:v>0</x:v>
      </x:c>
      <x:c r="AB8" s="2">
        <x:v>0</x:v>
      </x:c>
      <x:c r="AC8" s="2">
        <x:v>0</x:v>
      </x:c>
    </x:row>
    <x:row r="9" ht="19.950000762939453" customHeight="1">
      <x:c r="A9" s="5" t="s">
        <x:v>138</x:v>
      </x:c>
      <x:c r="B9" s="1"/>
      <x:c r="C9" s="1"/>
      <x:c r="D9" s="2">
        <x:v>0</x:v>
      </x:c>
      <x:c r="E9" s="2">
        <x:v>69000</x:v>
      </x:c>
      <x:c r="F9" s="2">
        <x:v>0</x:v>
      </x:c>
      <x:c r="G9" s="2">
        <x:v>0</x:v>
      </x:c>
      <x:c r="H9" s="2">
        <x:v>0</x:v>
      </x:c>
      <x:c r="I9" s="2">
        <x:v>0</x:v>
      </x:c>
      <x:c r="J9" s="2">
        <x:v>0</x:v>
      </x:c>
      <x:c r="K9" s="2">
        <x:v>0</x:v>
      </x:c>
      <x:c r="L9" s="2">
        <x:v>0</x:v>
      </x:c>
      <x:c r="M9" s="2">
        <x:v>0</x:v>
      </x:c>
      <x:c r="N9" s="2">
        <x:v>0</x:v>
      </x:c>
      <x:c r="O9" s="2">
        <x:v>0</x:v>
      </x:c>
      <x:c r="P9" s="2">
        <x:v>0</x:v>
      </x:c>
      <x:c r="Q9" s="2">
        <x:v>0</x:v>
      </x:c>
      <x:c r="R9" s="2">
        <x:v>0</x:v>
      </x:c>
      <x:c r="S9" s="2">
        <x:v>0</x:v>
      </x:c>
      <x:c r="T9" s="2">
        <x:v>0</x:v>
      </x:c>
      <x:c r="U9" s="2">
        <x:v>0</x:v>
      </x:c>
      <x:c r="V9" s="2">
        <x:v>0</x:v>
      </x:c>
      <x:c r="W9" s="2">
        <x:v>0</x:v>
      </x:c>
      <x:c r="X9" s="2">
        <x:v>0</x:v>
      </x:c>
      <x:c r="Y9" s="2">
        <x:v>0</x:v>
      </x:c>
      <x:c r="Z9" s="2">
        <x:v>0</x:v>
      </x:c>
      <x:c r="AA9" s="2">
        <x:v>0</x:v>
      </x:c>
      <x:c r="AB9" s="2">
        <x:v>0</x:v>
      </x:c>
      <x:c r="AC9" s="2">
        <x:v>0</x:v>
      </x:c>
    </x:row>
    <x:row r="10" ht="19.950000762939453" customHeight="1">
      <x:c r="A10" s="5" t="s">
        <x:v>139</x:v>
      </x:c>
      <x:c r="B10" s="1"/>
      <x:c r="C10" s="1"/>
      <x:c r="D10" s="2" t="n">
        <x:f>D8</x:f>
        <x:v>43000</x:v>
      </x:c>
      <x:c r="E10" s="2" t="n">
        <x:f t="shared" ref="E10:AC10" si="0">D10+E8</x:f>
        <x:v>90000</x:v>
      </x:c>
      <x:c r="F10" s="2">
        <x:f t="shared" si="0"/>
        <x:v>90000</x:v>
      </x:c>
      <x:c r="G10" s="2">
        <x:f t="shared" si="0"/>
        <x:v>90000</x:v>
      </x:c>
      <x:c r="H10" s="2">
        <x:f t="shared" si="0"/>
        <x:v>90000</x:v>
      </x:c>
      <x:c r="I10" s="2">
        <x:f t="shared" si="0"/>
        <x:v>90000</x:v>
      </x:c>
      <x:c r="J10" s="2">
        <x:f t="shared" si="0"/>
        <x:v>90000</x:v>
      </x:c>
      <x:c r="K10" s="2">
        <x:f t="shared" si="0"/>
        <x:v>90000</x:v>
      </x:c>
      <x:c r="L10" s="2">
        <x:f t="shared" si="0"/>
        <x:v>90000</x:v>
      </x:c>
      <x:c r="M10" s="2">
        <x:f t="shared" si="0"/>
        <x:v>90000</x:v>
      </x:c>
      <x:c r="N10" s="2">
        <x:f t="shared" si="0"/>
        <x:v>90000</x:v>
      </x:c>
      <x:c r="O10" s="2">
        <x:f t="shared" si="0"/>
        <x:v>90000</x:v>
      </x:c>
      <x:c r="P10" s="2">
        <x:f t="shared" si="0"/>
        <x:v>90000</x:v>
      </x:c>
      <x:c r="Q10" s="2">
        <x:f t="shared" si="0"/>
        <x:v>90000</x:v>
      </x:c>
      <x:c r="R10" s="2">
        <x:f t="shared" si="0"/>
        <x:v>90000</x:v>
      </x:c>
      <x:c r="S10" s="2">
        <x:f t="shared" si="0"/>
        <x:v>90000</x:v>
      </x:c>
      <x:c r="T10" s="2">
        <x:f t="shared" si="0"/>
        <x:v>90000</x:v>
      </x:c>
      <x:c r="U10" s="2">
        <x:f t="shared" si="0"/>
        <x:v>90000</x:v>
      </x:c>
      <x:c r="V10" s="2">
        <x:f t="shared" si="0"/>
        <x:v>90000</x:v>
      </x:c>
      <x:c r="W10" s="2">
        <x:f t="shared" si="0"/>
        <x:v>90000</x:v>
      </x:c>
      <x:c r="X10" s="2">
        <x:f t="shared" si="0"/>
        <x:v>90000</x:v>
      </x:c>
      <x:c r="Y10" s="2">
        <x:f t="shared" si="0"/>
        <x:v>90000</x:v>
      </x:c>
      <x:c r="Z10" s="2">
        <x:f t="shared" si="0"/>
        <x:v>90000</x:v>
      </x:c>
      <x:c r="AA10" s="2">
        <x:f t="shared" si="0"/>
        <x:v>90000</x:v>
      </x:c>
      <x:c r="AB10" s="2">
        <x:f t="shared" si="0"/>
        <x:v>90000</x:v>
      </x:c>
      <x:c r="AC10" s="2">
        <x:f t="shared" si="0"/>
        <x:v>90000</x:v>
      </x:c>
    </x:row>
    <x:row r="11" ht="19.950000762939453" customHeight="1">
      <x:c r="A11" s="5" t="s">
        <x:v>140</x:v>
      </x:c>
      <x:c r="B11" s="1"/>
      <x:c r="C11" s="1"/>
      <x:c r="D11" s="2" t="n">
        <x:f>D9</x:f>
        <x:v>0</x:v>
      </x:c>
      <x:c r="E11" s="2" t="n">
        <x:f t="shared" ref="E11:AC11" si="1">D11+E9</x:f>
        <x:v>69000</x:v>
      </x:c>
      <x:c r="F11" s="2">
        <x:f t="shared" si="1"/>
        <x:v>69000</x:v>
      </x:c>
      <x:c r="G11" s="2">
        <x:f t="shared" si="1"/>
        <x:v>69000</x:v>
      </x:c>
      <x:c r="H11" s="2">
        <x:f t="shared" si="1"/>
        <x:v>69000</x:v>
      </x:c>
      <x:c r="I11" s="2">
        <x:f t="shared" si="1"/>
        <x:v>69000</x:v>
      </x:c>
      <x:c r="J11" s="2">
        <x:f t="shared" si="1"/>
        <x:v>69000</x:v>
      </x:c>
      <x:c r="K11" s="2">
        <x:f t="shared" si="1"/>
        <x:v>69000</x:v>
      </x:c>
      <x:c r="L11" s="2">
        <x:f t="shared" si="1"/>
        <x:v>69000</x:v>
      </x:c>
      <x:c r="M11" s="2">
        <x:f t="shared" si="1"/>
        <x:v>69000</x:v>
      </x:c>
      <x:c r="N11" s="2">
        <x:f t="shared" si="1"/>
        <x:v>69000</x:v>
      </x:c>
      <x:c r="O11" s="2">
        <x:f t="shared" si="1"/>
        <x:v>69000</x:v>
      </x:c>
      <x:c r="P11" s="2">
        <x:f t="shared" si="1"/>
        <x:v>69000</x:v>
      </x:c>
      <x:c r="Q11" s="2">
        <x:f t="shared" si="1"/>
        <x:v>69000</x:v>
      </x:c>
      <x:c r="R11" s="2">
        <x:f t="shared" si="1"/>
        <x:v>69000</x:v>
      </x:c>
      <x:c r="S11" s="2">
        <x:f t="shared" si="1"/>
        <x:v>69000</x:v>
      </x:c>
      <x:c r="T11" s="2">
        <x:f t="shared" si="1"/>
        <x:v>69000</x:v>
      </x:c>
      <x:c r="U11" s="2">
        <x:f t="shared" si="1"/>
        <x:v>69000</x:v>
      </x:c>
      <x:c r="V11" s="2">
        <x:f t="shared" si="1"/>
        <x:v>69000</x:v>
      </x:c>
      <x:c r="W11" s="2">
        <x:f t="shared" si="1"/>
        <x:v>69000</x:v>
      </x:c>
      <x:c r="X11" s="2">
        <x:f t="shared" si="1"/>
        <x:v>69000</x:v>
      </x:c>
      <x:c r="Y11" s="2">
        <x:f t="shared" si="1"/>
        <x:v>69000</x:v>
      </x:c>
      <x:c r="Z11" s="2">
        <x:f t="shared" si="1"/>
        <x:v>69000</x:v>
      </x:c>
      <x:c r="AA11" s="2">
        <x:f t="shared" si="1"/>
        <x:v>69000</x:v>
      </x:c>
      <x:c r="AB11" s="2">
        <x:f t="shared" si="1"/>
        <x:v>69000</x:v>
      </x:c>
      <x:c r="AC11" s="2">
        <x:f t="shared" si="1"/>
        <x:v>69000</x:v>
      </x:c>
    </x:row>
    <x:row r="12" ht="19.950000762939453" customHeight="1">
      <x:c r="A12" s="5" t="s">
        <x:v>141</x:v>
      </x:c>
      <x:c r="B12" s="1"/>
      <x:c r="C12" s="1"/>
      <x:c r="D12" s="2">
        <x:v>0</x:v>
      </x:c>
      <x:c r="E12" s="2">
        <x:v>0</x:v>
      </x:c>
      <x:c r="F12" s="2">
        <x:v>0</x:v>
      </x:c>
      <x:c r="G12" s="2">
        <x:v>0</x:v>
      </x:c>
      <x:c r="H12" s="2">
        <x:v>0</x:v>
      </x:c>
      <x:c r="I12" s="2">
        <x:v>0</x:v>
      </x:c>
      <x:c r="J12" s="2">
        <x:v>0</x:v>
      </x:c>
      <x:c r="K12" s="2">
        <x:v>0</x:v>
      </x:c>
      <x:c r="L12" s="2">
        <x:v>0</x:v>
      </x:c>
      <x:c r="M12" s="2">
        <x:v>0</x:v>
      </x:c>
      <x:c r="N12" s="2">
        <x:v>0</x:v>
      </x:c>
      <x:c r="O12" s="2">
        <x:v>0</x:v>
      </x:c>
      <x:c r="P12" s="2">
        <x:v>0</x:v>
      </x:c>
      <x:c r="Q12" s="2" t="n">
        <x:f>-Q10*Inputs!$B$9</x:f>
        <x:v>-18000</x:v>
      </x:c>
      <x:c r="R12" s="2">
        <x:v>0</x:v>
      </x:c>
      <x:c r="S12" s="2">
        <x:v>0</x:v>
      </x:c>
      <x:c r="T12" s="2">
        <x:v>0</x:v>
      </x:c>
      <x:c r="U12" s="2">
        <x:v>0</x:v>
      </x:c>
      <x:c r="V12" s="2">
        <x:v>0</x:v>
      </x:c>
      <x:c r="W12" s="2">
        <x:v>0</x:v>
      </x:c>
      <x:c r="X12" s="2">
        <x:v>0</x:v>
      </x:c>
      <x:c r="Y12" s="2">
        <x:v>0</x:v>
      </x:c>
      <x:c r="Z12" s="2">
        <x:v>0</x:v>
      </x:c>
      <x:c r="AA12" s="2">
        <x:v>0</x:v>
      </x:c>
      <x:c r="AB12" s="2">
        <x:v>0</x:v>
      </x:c>
      <x:c r="AC12" s="2" t="n">
        <x:f>-AC10*Inputs!$B$9</x:f>
        <x:v>-18000</x:v>
      </x:c>
    </x:row>
    <x:row r="13" ht="19.950000762939453" customHeight="1">
      <x:c r="A13" s="5" t="s">
        <x:v>142</x:v>
      </x:c>
      <x:c r="B13" s="1"/>
      <x:c r="C13" s="1"/>
      <x:c r="D13" s="2">
        <x:v>0</x:v>
      </x:c>
      <x:c r="E13" s="2">
        <x:v>0</x:v>
      </x:c>
      <x:c r="F13" s="2">
        <x:v>0</x:v>
      </x:c>
      <x:c r="G13" s="2">
        <x:v>0</x:v>
      </x:c>
      <x:c r="H13" s="2">
        <x:v>0</x:v>
      </x:c>
      <x:c r="I13" s="2">
        <x:v>0</x:v>
      </x:c>
      <x:c r="J13" s="2">
        <x:v>0</x:v>
      </x:c>
      <x:c r="K13" s="2">
        <x:v>0</x:v>
      </x:c>
      <x:c r="L13" s="2">
        <x:v>0</x:v>
      </x:c>
      <x:c r="M13" s="2">
        <x:v>0</x:v>
      </x:c>
      <x:c r="N13" s="2">
        <x:v>0</x:v>
      </x:c>
      <x:c r="O13" s="2">
        <x:v>0</x:v>
      </x:c>
      <x:c r="P13" s="2">
        <x:v>0</x:v>
      </x:c>
      <x:c r="Q13" s="2" t="n">
        <x:f>-Q11*Inputs!$B$9</x:f>
        <x:v>-13800</x:v>
      </x:c>
      <x:c r="R13" s="2">
        <x:v>0</x:v>
      </x:c>
      <x:c r="S13" s="2">
        <x:v>0</x:v>
      </x:c>
      <x:c r="T13" s="2">
        <x:v>0</x:v>
      </x:c>
      <x:c r="U13" s="2">
        <x:v>0</x:v>
      </x:c>
      <x:c r="V13" s="2">
        <x:v>0</x:v>
      </x:c>
      <x:c r="W13" s="2">
        <x:v>0</x:v>
      </x:c>
      <x:c r="X13" s="2">
        <x:v>0</x:v>
      </x:c>
      <x:c r="Y13" s="2">
        <x:v>0</x:v>
      </x:c>
      <x:c r="Z13" s="2">
        <x:v>0</x:v>
      </x:c>
      <x:c r="AA13" s="2">
        <x:v>0</x:v>
      </x:c>
      <x:c r="AB13" s="2">
        <x:v>0</x:v>
      </x:c>
      <x:c r="AC13" s="2" t="n">
        <x:f>-AC11*Inputs!$B$9</x:f>
        <x:v>-13800</x:v>
      </x:c>
    </x:row>
    <x:row r="14" ht="19.950000762939453" customHeight="1">
      <x:c r="A14" s="5" t="s">
        <x:v>143</x:v>
      </x:c>
      <x:c r="B14" s="1"/>
      <x:c r="C14" s="1"/>
      <x:c r="D14" s="2" t="n">
        <x:f>-D12</x:f>
        <x:v>0</x:v>
      </x:c>
      <x:c r="E14" s="2" t="n">
        <x:f t="shared" ref="E14:AC14" si="2">D14-E12</x:f>
        <x:v>0</x:v>
      </x:c>
      <x:c r="F14" s="2">
        <x:f t="shared" si="2"/>
        <x:v>0</x:v>
      </x:c>
      <x:c r="G14" s="2">
        <x:f t="shared" si="2"/>
        <x:v>0</x:v>
      </x:c>
      <x:c r="H14" s="2">
        <x:f t="shared" si="2"/>
        <x:v>0</x:v>
      </x:c>
      <x:c r="I14" s="2">
        <x:f t="shared" si="2"/>
        <x:v>0</x:v>
      </x:c>
      <x:c r="J14" s="2">
        <x:f t="shared" si="2"/>
        <x:v>0</x:v>
      </x:c>
      <x:c r="K14" s="2">
        <x:f t="shared" si="2"/>
        <x:v>0</x:v>
      </x:c>
      <x:c r="L14" s="2">
        <x:f t="shared" si="2"/>
        <x:v>0</x:v>
      </x:c>
      <x:c r="M14" s="2">
        <x:f t="shared" si="2"/>
        <x:v>0</x:v>
      </x:c>
      <x:c r="N14" s="2">
        <x:f t="shared" si="2"/>
        <x:v>0</x:v>
      </x:c>
      <x:c r="O14" s="2">
        <x:f t="shared" si="2"/>
        <x:v>0</x:v>
      </x:c>
      <x:c r="P14" s="2">
        <x:f t="shared" si="2"/>
        <x:v>0</x:v>
      </x:c>
      <x:c r="Q14" s="2">
        <x:f t="shared" si="2"/>
        <x:v>18000</x:v>
      </x:c>
      <x:c r="R14" s="2">
        <x:f t="shared" si="2"/>
        <x:v>18000</x:v>
      </x:c>
      <x:c r="S14" s="2">
        <x:f t="shared" si="2"/>
        <x:v>18000</x:v>
      </x:c>
      <x:c r="T14" s="2">
        <x:f t="shared" si="2"/>
        <x:v>18000</x:v>
      </x:c>
      <x:c r="U14" s="2">
        <x:f t="shared" si="2"/>
        <x:v>18000</x:v>
      </x:c>
      <x:c r="V14" s="2">
        <x:f t="shared" si="2"/>
        <x:v>18000</x:v>
      </x:c>
      <x:c r="W14" s="2">
        <x:f t="shared" si="2"/>
        <x:v>18000</x:v>
      </x:c>
      <x:c r="X14" s="2">
        <x:f t="shared" si="2"/>
        <x:v>18000</x:v>
      </x:c>
      <x:c r="Y14" s="2">
        <x:f t="shared" si="2"/>
        <x:v>18000</x:v>
      </x:c>
      <x:c r="Z14" s="2">
        <x:f t="shared" si="2"/>
        <x:v>18000</x:v>
      </x:c>
      <x:c r="AA14" s="2">
        <x:f t="shared" si="2"/>
        <x:v>18000</x:v>
      </x:c>
      <x:c r="AB14" s="2">
        <x:f t="shared" si="2"/>
        <x:v>18000</x:v>
      </x:c>
      <x:c r="AC14" s="2">
        <x:f t="shared" si="2"/>
        <x:v>36000</x:v>
      </x:c>
    </x:row>
    <x:row r="15" ht="19.950000762939453" customHeight="1">
      <x:c r="A15" s="5" t="s">
        <x:v>144</x:v>
      </x:c>
      <x:c r="B15" s="1"/>
      <x:c r="C15" s="1"/>
      <x:c r="D15" s="2" t="n">
        <x:f>-D13</x:f>
        <x:v>0</x:v>
      </x:c>
      <x:c r="E15" s="2" t="n">
        <x:f t="shared" ref="E15:AC15" si="3">D15-E13</x:f>
        <x:v>0</x:v>
      </x:c>
      <x:c r="F15" s="2">
        <x:f t="shared" si="3"/>
        <x:v>0</x:v>
      </x:c>
      <x:c r="G15" s="2">
        <x:f t="shared" si="3"/>
        <x:v>0</x:v>
      </x:c>
      <x:c r="H15" s="2">
        <x:f t="shared" si="3"/>
        <x:v>0</x:v>
      </x:c>
      <x:c r="I15" s="2">
        <x:f t="shared" si="3"/>
        <x:v>0</x:v>
      </x:c>
      <x:c r="J15" s="2">
        <x:f t="shared" si="3"/>
        <x:v>0</x:v>
      </x:c>
      <x:c r="K15" s="2">
        <x:f t="shared" si="3"/>
        <x:v>0</x:v>
      </x:c>
      <x:c r="L15" s="2">
        <x:f t="shared" si="3"/>
        <x:v>0</x:v>
      </x:c>
      <x:c r="M15" s="2">
        <x:f t="shared" si="3"/>
        <x:v>0</x:v>
      </x:c>
      <x:c r="N15" s="2">
        <x:f t="shared" si="3"/>
        <x:v>0</x:v>
      </x:c>
      <x:c r="O15" s="2">
        <x:f t="shared" si="3"/>
        <x:v>0</x:v>
      </x:c>
      <x:c r="P15" s="2">
        <x:f t="shared" si="3"/>
        <x:v>0</x:v>
      </x:c>
      <x:c r="Q15" s="2">
        <x:f t="shared" si="3"/>
        <x:v>13800</x:v>
      </x:c>
      <x:c r="R15" s="2">
        <x:f t="shared" si="3"/>
        <x:v>13800</x:v>
      </x:c>
      <x:c r="S15" s="2">
        <x:f t="shared" si="3"/>
        <x:v>13800</x:v>
      </x:c>
      <x:c r="T15" s="2">
        <x:f t="shared" si="3"/>
        <x:v>13800</x:v>
      </x:c>
      <x:c r="U15" s="2">
        <x:f t="shared" si="3"/>
        <x:v>13800</x:v>
      </x:c>
      <x:c r="V15" s="2">
        <x:f t="shared" si="3"/>
        <x:v>13800</x:v>
      </x:c>
      <x:c r="W15" s="2">
        <x:f t="shared" si="3"/>
        <x:v>13800</x:v>
      </x:c>
      <x:c r="X15" s="2">
        <x:f t="shared" si="3"/>
        <x:v>13800</x:v>
      </x:c>
      <x:c r="Y15" s="2">
        <x:f t="shared" si="3"/>
        <x:v>13800</x:v>
      </x:c>
      <x:c r="Z15" s="2">
        <x:f t="shared" si="3"/>
        <x:v>13800</x:v>
      </x:c>
      <x:c r="AA15" s="2">
        <x:f t="shared" si="3"/>
        <x:v>13800</x:v>
      </x:c>
      <x:c r="AB15" s="2">
        <x:f t="shared" si="3"/>
        <x:v>13800</x:v>
      </x:c>
      <x:c r="AC15" s="2">
        <x:f t="shared" si="3"/>
        <x:v>27600</x:v>
      </x:c>
    </x:row>
    <x:row r="16" ht="19.950000762939453" customHeight="1">
      <x:c r="A16" s="5" t="s">
        <x:v>145</x:v>
      </x:c>
      <x:c r="B16" s="1"/>
      <x:c r="C16" s="1"/>
      <x:c r="D16" s="2" t="n">
        <x:f t="shared" ref="D16:AC16" si="4">D10-D14</x:f>
        <x:v>43000</x:v>
      </x:c>
      <x:c r="E16" s="2">
        <x:f t="shared" si="4"/>
        <x:v>90000</x:v>
      </x:c>
      <x:c r="F16" s="2">
        <x:f t="shared" si="4"/>
        <x:v>90000</x:v>
      </x:c>
      <x:c r="G16" s="2">
        <x:f t="shared" si="4"/>
        <x:v>90000</x:v>
      </x:c>
      <x:c r="H16" s="2">
        <x:f t="shared" si="4"/>
        <x:v>90000</x:v>
      </x:c>
      <x:c r="I16" s="2">
        <x:f t="shared" si="4"/>
        <x:v>90000</x:v>
      </x:c>
      <x:c r="J16" s="2">
        <x:f t="shared" si="4"/>
        <x:v>90000</x:v>
      </x:c>
      <x:c r="K16" s="2">
        <x:f t="shared" si="4"/>
        <x:v>90000</x:v>
      </x:c>
      <x:c r="L16" s="2">
        <x:f t="shared" si="4"/>
        <x:v>90000</x:v>
      </x:c>
      <x:c r="M16" s="2">
        <x:f t="shared" si="4"/>
        <x:v>90000</x:v>
      </x:c>
      <x:c r="N16" s="2">
        <x:f t="shared" si="4"/>
        <x:v>90000</x:v>
      </x:c>
      <x:c r="O16" s="2">
        <x:f t="shared" si="4"/>
        <x:v>90000</x:v>
      </x:c>
      <x:c r="P16" s="2">
        <x:f t="shared" si="4"/>
        <x:v>90000</x:v>
      </x:c>
      <x:c r="Q16" s="2">
        <x:f t="shared" si="4"/>
        <x:v>72000</x:v>
      </x:c>
      <x:c r="R16" s="2">
        <x:f t="shared" si="4"/>
        <x:v>72000</x:v>
      </x:c>
      <x:c r="S16" s="2">
        <x:f t="shared" si="4"/>
        <x:v>72000</x:v>
      </x:c>
      <x:c r="T16" s="2">
        <x:f t="shared" si="4"/>
        <x:v>72000</x:v>
      </x:c>
      <x:c r="U16" s="2">
        <x:f t="shared" si="4"/>
        <x:v>72000</x:v>
      </x:c>
      <x:c r="V16" s="2">
        <x:f t="shared" si="4"/>
        <x:v>72000</x:v>
      </x:c>
      <x:c r="W16" s="2">
        <x:f t="shared" si="4"/>
        <x:v>72000</x:v>
      </x:c>
      <x:c r="X16" s="2">
        <x:f t="shared" si="4"/>
        <x:v>72000</x:v>
      </x:c>
      <x:c r="Y16" s="2">
        <x:f t="shared" si="4"/>
        <x:v>72000</x:v>
      </x:c>
      <x:c r="Z16" s="2">
        <x:f t="shared" si="4"/>
        <x:v>72000</x:v>
      </x:c>
      <x:c r="AA16" s="2">
        <x:f t="shared" si="4"/>
        <x:v>72000</x:v>
      </x:c>
      <x:c r="AB16" s="2">
        <x:f t="shared" si="4"/>
        <x:v>72000</x:v>
      </x:c>
      <x:c r="AC16" s="2">
        <x:f t="shared" si="4"/>
        <x:v>54000</x:v>
      </x:c>
    </x:row>
    <x:row r="17" ht="19.950000762939453" customHeight="1">
      <x:c r="A17" s="5" t="s">
        <x:v>146</x:v>
      </x:c>
      <x:c r="B17" s="1"/>
      <x:c r="C17" s="1"/>
      <x:c r="D17" s="2" t="n">
        <x:f t="shared" ref="D17:AC17" si="5">D11-D15</x:f>
        <x:v>0</x:v>
      </x:c>
      <x:c r="E17" s="2">
        <x:f t="shared" si="5"/>
        <x:v>69000</x:v>
      </x:c>
      <x:c r="F17" s="2">
        <x:f t="shared" si="5"/>
        <x:v>69000</x:v>
      </x:c>
      <x:c r="G17" s="2">
        <x:f t="shared" si="5"/>
        <x:v>69000</x:v>
      </x:c>
      <x:c r="H17" s="2">
        <x:f t="shared" si="5"/>
        <x:v>69000</x:v>
      </x:c>
      <x:c r="I17" s="2">
        <x:f t="shared" si="5"/>
        <x:v>69000</x:v>
      </x:c>
      <x:c r="J17" s="2">
        <x:f t="shared" si="5"/>
        <x:v>69000</x:v>
      </x:c>
      <x:c r="K17" s="2">
        <x:f t="shared" si="5"/>
        <x:v>69000</x:v>
      </x:c>
      <x:c r="L17" s="2">
        <x:f t="shared" si="5"/>
        <x:v>69000</x:v>
      </x:c>
      <x:c r="M17" s="2">
        <x:f t="shared" si="5"/>
        <x:v>69000</x:v>
      </x:c>
      <x:c r="N17" s="2">
        <x:f t="shared" si="5"/>
        <x:v>69000</x:v>
      </x:c>
      <x:c r="O17" s="2">
        <x:f t="shared" si="5"/>
        <x:v>69000</x:v>
      </x:c>
      <x:c r="P17" s="2">
        <x:f t="shared" si="5"/>
        <x:v>69000</x:v>
      </x:c>
      <x:c r="Q17" s="2">
        <x:f t="shared" si="5"/>
        <x:v>55200</x:v>
      </x:c>
      <x:c r="R17" s="2">
        <x:f t="shared" si="5"/>
        <x:v>55200</x:v>
      </x:c>
      <x:c r="S17" s="2">
        <x:f t="shared" si="5"/>
        <x:v>55200</x:v>
      </x:c>
      <x:c r="T17" s="2">
        <x:f t="shared" si="5"/>
        <x:v>55200</x:v>
      </x:c>
      <x:c r="U17" s="2">
        <x:f t="shared" si="5"/>
        <x:v>55200</x:v>
      </x:c>
      <x:c r="V17" s="2">
        <x:f t="shared" si="5"/>
        <x:v>55200</x:v>
      </x:c>
      <x:c r="W17" s="2">
        <x:f t="shared" si="5"/>
        <x:v>55200</x:v>
      </x:c>
      <x:c r="X17" s="2">
        <x:f t="shared" si="5"/>
        <x:v>55200</x:v>
      </x:c>
      <x:c r="Y17" s="2">
        <x:f t="shared" si="5"/>
        <x:v>55200</x:v>
      </x:c>
      <x:c r="Z17" s="2">
        <x:f t="shared" si="5"/>
        <x:v>55200</x:v>
      </x:c>
      <x:c r="AA17" s="2">
        <x:f t="shared" si="5"/>
        <x:v>55200</x:v>
      </x:c>
      <x:c r="AB17" s="2">
        <x:f t="shared" si="5"/>
        <x:v>55200</x:v>
      </x:c>
      <x:c r="AC17" s="2">
        <x:f t="shared" si="5"/>
        <x:v>41400</x:v>
      </x:c>
    </x:row>
    <x:row r="18" ht="19.950000762939453" customHeight="1">
      <x:c r="A18" s="6" t="s">
        <x:v>147</x:v>
      </x:c>
      <x:c r="B18" s="7"/>
      <x:c r="C18" s="7"/>
      <x:c r="D18" s="8" t="n">
        <x:f t="shared" ref="D18:AC18" si="6">D6+D7+D38+D12+D13+D40</x:f>
        <x:v>-46090.00000000001</x:v>
      </x:c>
      <x:c r="E18" s="8">
        <x:f t="shared" si="6"/>
        <x:v>-24635.000000000007</x:v>
      </x:c>
      <x:c r="F18" s="8">
        <x:f t="shared" si="6"/>
        <x:v>-38000.000000000007</x:v>
      </x:c>
      <x:c r="G18" s="8">
        <x:f t="shared" si="6"/>
        <x:v>-31200.000000000007</x:v>
      </x:c>
      <x:c r="H18" s="8">
        <x:f t="shared" si="6"/>
        <x:v>25474.999999999993</x:v>
      </x:c>
      <x:c r="I18" s="8">
        <x:f t="shared" si="6"/>
        <x:v>-20795.000000000007</x:v>
      </x:c>
      <x:c r="J18" s="8">
        <x:f t="shared" si="6"/>
        <x:v>-17115.000000000007</x:v>
      </x:c>
      <x:c r="K18" s="8">
        <x:f t="shared" si="6"/>
        <x:v>43974.999999999993</x:v>
      </x:c>
      <x:c r="L18" s="8">
        <x:f t="shared" si="6"/>
        <x:v>6520</x:v>
      </x:c>
      <x:c r="M18" s="8">
        <x:f t="shared" si="6"/>
        <x:v>19320</x:v>
      </x:c>
      <x:c r="N18" s="8">
        <x:f t="shared" si="6"/>
        <x:v>94330</x:v>
      </x:c>
      <x:c r="O18" s="8">
        <x:f t="shared" si="6"/>
        <x:v>40720</x:v>
      </x:c>
      <x:c r="P18" s="8">
        <x:f t="shared" si="6"/>
        <x:v>39253.333333333328</x:v>
      </x:c>
      <x:c r="Q18" s="8">
        <x:f t="shared" si="6"/>
        <x:v>57754.333333333328</x:v>
      </x:c>
      <x:c r="R18" s="8">
        <x:f t="shared" si="6"/>
        <x:v>49925.333333333328</x:v>
      </x:c>
      <x:c r="S18" s="8">
        <x:f t="shared" si="6"/>
        <x:v>49925.333333333328</x:v>
      </x:c>
      <x:c r="T18" s="8">
        <x:f t="shared" si="6"/>
        <x:v>105815.33333333333</x:v>
      </x:c>
      <x:c r="U18" s="8">
        <x:f t="shared" si="6"/>
        <x:v>61664.53333333334</x:v>
      </x:c>
      <x:c r="V18" s="8">
        <x:f t="shared" si="6"/>
        <x:v>61664.53333333334</x:v>
      </x:c>
      <x:c r="W18" s="8">
        <x:f t="shared" si="6"/>
        <x:v>117554.53333333334</x:v>
      </x:c>
      <x:c r="X18" s="8">
        <x:f t="shared" si="6"/>
        <x:v>74577.653333333365</x:v>
      </x:c>
      <x:c r="Y18" s="8">
        <x:f t="shared" si="6"/>
        <x:v>74577.653333333365</x:v>
      </x:c>
      <x:c r="Z18" s="8">
        <x:f t="shared" si="6"/>
        <x:v>130467.65333333336</x:v>
      </x:c>
      <x:c r="AA18" s="8">
        <x:f t="shared" si="6"/>
        <x:v>88782.085333333365</x:v>
      </x:c>
      <x:c r="AB18" s="8">
        <x:f t="shared" si="6"/>
        <x:v>88782.085333333365</x:v>
      </x:c>
      <x:c r="AC18" s="8">
        <x:f t="shared" si="6"/>
        <x:v>62571.085333333351</x:v>
      </x:c>
    </x:row>
    <x:row r="19" ht="19.950000762939453" customHeight="1">
      <x:c r="A19" s="5" t="s">
        <x:v>148</x:v>
      </x:c>
      <x:c r="B19" s="1"/>
      <x:c r="C19" s="1"/>
      <x:c r="D19" s="2">
        <x:v>0</x:v>
      </x:c>
      <x:c r="E19" s="2">
        <x:v>0</x:v>
      </x:c>
      <x:c r="F19" s="2">
        <x:v>0</x:v>
      </x:c>
      <x:c r="G19" s="2">
        <x:v>0</x:v>
      </x:c>
      <x:c r="H19" s="2">
        <x:v>0</x:v>
      </x:c>
      <x:c r="I19" s="2">
        <x:v>0</x:v>
      </x:c>
      <x:c r="J19" s="2">
        <x:v>0</x:v>
      </x:c>
      <x:c r="K19" s="2">
        <x:v>0</x:v>
      </x:c>
      <x:c r="L19" s="2">
        <x:v>0</x:v>
      </x:c>
      <x:c r="M19" s="2">
        <x:v>0</x:v>
      </x:c>
      <x:c r="N19" s="2">
        <x:v>0</x:v>
      </x:c>
      <x:c r="O19" s="2">
        <x:v>0</x:v>
      </x:c>
      <x:c r="P19" s="2">
        <x:v>0</x:v>
      </x:c>
      <x:c r="Q19" s="2" t="n">
        <x:f>-Inputs!$B$8*MAX(0,SUM(D18:Q18)-Inputs!$B$12)</x:f>
        <x:v>-4266.214880871336</x:v>
      </x:c>
      <x:c r="R19" s="2">
        <x:v>0</x:v>
      </x:c>
      <x:c r="S19" s="2">
        <x:v>0</x:v>
      </x:c>
      <x:c r="T19" s="2">
        <x:v>0</x:v>
      </x:c>
      <x:c r="U19" s="2">
        <x:v>0</x:v>
      </x:c>
      <x:c r="V19" s="2">
        <x:v>0</x:v>
      </x:c>
      <x:c r="W19" s="2">
        <x:v>0</x:v>
      </x:c>
      <x:c r="X19" s="2">
        <x:v>0</x:v>
      </x:c>
      <x:c r="Y19" s="2">
        <x:v>0</x:v>
      </x:c>
      <x:c r="Z19" s="2">
        <x:v>0</x:v>
      </x:c>
      <x:c r="AA19" s="2">
        <x:v>0</x:v>
      </x:c>
      <x:c r="AB19" s="2">
        <x:v>0</x:v>
      </x:c>
      <x:c r="AC19" s="2" t="n">
        <x:f>-Inputs!$B$8*MAX(0,SUM(R18:AC18)-MIN(MAX(0,-SUM(D18:Q18)),0.75*MAX(0,SUM(R18:AC18)))-Inputs!$B$12)</x:f>
        <x:v>-77777.77832087135</x:v>
      </x:c>
    </x:row>
    <x:row r="20" ht="19.950000762939453" customHeight="1">
      <x:c r="A20" s="6" t="s">
        <x:v>149</x:v>
      </x:c>
      <x:c r="B20" s="7"/>
      <x:c r="C20" s="7"/>
      <x:c r="D20" s="8" t="n">
        <x:f t="shared" ref="D20:AC20" si="7">D18+D19</x:f>
        <x:v>-46090.00000000001</x:v>
      </x:c>
      <x:c r="E20" s="8">
        <x:f t="shared" si="7"/>
        <x:v>-24635.000000000007</x:v>
      </x:c>
      <x:c r="F20" s="8">
        <x:f t="shared" si="7"/>
        <x:v>-38000.000000000007</x:v>
      </x:c>
      <x:c r="G20" s="8">
        <x:f t="shared" si="7"/>
        <x:v>-31200.000000000007</x:v>
      </x:c>
      <x:c r="H20" s="8">
        <x:f t="shared" si="7"/>
        <x:v>25474.999999999993</x:v>
      </x:c>
      <x:c r="I20" s="8">
        <x:f t="shared" si="7"/>
        <x:v>-20795.000000000007</x:v>
      </x:c>
      <x:c r="J20" s="8">
        <x:f t="shared" si="7"/>
        <x:v>-17115.000000000007</x:v>
      </x:c>
      <x:c r="K20" s="8">
        <x:f t="shared" si="7"/>
        <x:v>43974.999999999993</x:v>
      </x:c>
      <x:c r="L20" s="8">
        <x:f t="shared" si="7"/>
        <x:v>6520</x:v>
      </x:c>
      <x:c r="M20" s="8">
        <x:f t="shared" si="7"/>
        <x:v>19320</x:v>
      </x:c>
      <x:c r="N20" s="8">
        <x:f t="shared" si="7"/>
        <x:v>94330</x:v>
      </x:c>
      <x:c r="O20" s="8">
        <x:f t="shared" si="7"/>
        <x:v>40720</x:v>
      </x:c>
      <x:c r="P20" s="8">
        <x:f t="shared" si="7"/>
        <x:v>39253.333333333328</x:v>
      </x:c>
      <x:c r="Q20" s="8">
        <x:f t="shared" si="7"/>
        <x:v>53488.118452461989</x:v>
      </x:c>
      <x:c r="R20" s="8">
        <x:f t="shared" si="7"/>
        <x:v>49925.333333333328</x:v>
      </x:c>
      <x:c r="S20" s="8">
        <x:f t="shared" si="7"/>
        <x:v>49925.333333333328</x:v>
      </x:c>
      <x:c r="T20" s="8">
        <x:f t="shared" si="7"/>
        <x:v>105815.33333333333</x:v>
      </x:c>
      <x:c r="U20" s="8">
        <x:f t="shared" si="7"/>
        <x:v>61664.53333333334</x:v>
      </x:c>
      <x:c r="V20" s="8">
        <x:f t="shared" si="7"/>
        <x:v>61664.53333333334</x:v>
      </x:c>
      <x:c r="W20" s="8">
        <x:f t="shared" si="7"/>
        <x:v>117554.53333333334</x:v>
      </x:c>
      <x:c r="X20" s="8">
        <x:f t="shared" si="7"/>
        <x:v>74577.653333333365</x:v>
      </x:c>
      <x:c r="Y20" s="8">
        <x:f t="shared" si="7"/>
        <x:v>74577.653333333365</x:v>
      </x:c>
      <x:c r="Z20" s="8">
        <x:f t="shared" si="7"/>
        <x:v>130467.65333333336</x:v>
      </x:c>
      <x:c r="AA20" s="8">
        <x:f t="shared" si="7"/>
        <x:v>88782.085333333365</x:v>
      </x:c>
      <x:c r="AB20" s="8">
        <x:f t="shared" si="7"/>
        <x:v>88782.085333333365</x:v>
      </x:c>
      <x:c r="AC20" s="8">
        <x:f t="shared" si="7"/>
        <x:v>-15206.692987538001</x:v>
      </x:c>
    </x:row>
    <x:row r="21" ht="19.950000762939453" customHeight="1">
      <x:c r="A21" s="5" t="s">
        <x:v>50</x:v>
      </x:c>
      <x:c r="B21" s="1"/>
      <x:c r="C21" s="1"/>
      <x:c r="D21" s="2" t="n">
        <x:f>Inputs!$B$22</x:f>
        <x:v>300000</x:v>
      </x:c>
      <x:c r="E21" s="2">
        <x:v>0</x:v>
      </x:c>
      <x:c r="F21" s="50" t="n">
        <x:f>Inputs!$B$23</x:f>
        <x:v>110000</x:v>
      </x:c>
      <x:c r="G21" s="50">
        <x:v>0</x:v>
      </x:c>
      <x:c r="H21" s="2">
        <x:v>0</x:v>
      </x:c>
      <x:c r="I21" s="50" t="n">
        <x:f>Inputs!$B$24</x:f>
        <x:v>50000</x:v>
      </x:c>
      <x:c r="J21" s="50">
        <x:v>0</x:v>
      </x:c>
      <x:c r="K21" s="2">
        <x:v>0</x:v>
      </x:c>
      <x:c r="L21" s="2">
        <x:v>0</x:v>
      </x:c>
      <x:c r="M21" s="2">
        <x:v>0</x:v>
      </x:c>
      <x:c r="N21" s="2">
        <x:v>0</x:v>
      </x:c>
      <x:c r="O21" s="2">
        <x:v>0</x:v>
      </x:c>
      <x:c r="P21" s="2">
        <x:v>0</x:v>
      </x:c>
      <x:c r="Q21" s="2">
        <x:v>0</x:v>
      </x:c>
      <x:c r="R21" s="2">
        <x:v>0</x:v>
      </x:c>
      <x:c r="S21" s="2">
        <x:v>0</x:v>
      </x:c>
      <x:c r="T21" s="2">
        <x:v>0</x:v>
      </x:c>
      <x:c r="U21" s="2">
        <x:v>0</x:v>
      </x:c>
      <x:c r="V21" s="2">
        <x:v>0</x:v>
      </x:c>
      <x:c r="W21" s="2">
        <x:v>0</x:v>
      </x:c>
      <x:c r="X21" s="2">
        <x:v>0</x:v>
      </x:c>
      <x:c r="Y21" s="2">
        <x:v>0</x:v>
      </x:c>
      <x:c r="Z21" s="2">
        <x:v>0</x:v>
      </x:c>
      <x:c r="AA21" s="2">
        <x:v>0</x:v>
      </x:c>
      <x:c r="AB21" s="2">
        <x:v>0</x:v>
      </x:c>
      <x:c r="AC21" s="2">
        <x:v>0</x:v>
      </x:c>
    </x:row>
    <x:row r="22" ht="19.950000762939453" customHeight="1">
      <x:c r="A22" s="5" t="s">
        <x:v>150</x:v>
      </x:c>
      <x:c r="B22" s="1"/>
      <x:c r="C22" s="1"/>
      <x:c r="D22" s="2">
        <x:v>0</x:v>
      </x:c>
      <x:c r="E22" s="2">
        <x:v>0</x:v>
      </x:c>
      <x:c r="F22" s="2">
        <x:v>0</x:v>
      </x:c>
      <x:c r="G22" s="2">
        <x:v>0</x:v>
      </x:c>
      <x:c r="H22" s="2">
        <x:v>0</x:v>
      </x:c>
      <x:c r="I22" s="2">
        <x:v>0</x:v>
      </x:c>
      <x:c r="J22" s="2">
        <x:v>0</x:v>
      </x:c>
      <x:c r="K22" s="2">
        <x:v>0</x:v>
      </x:c>
      <x:c r="L22" s="2">
        <x:v>0</x:v>
      </x:c>
      <x:c r="M22" s="2">
        <x:v>0</x:v>
      </x:c>
      <x:c r="N22" s="2">
        <x:v>0</x:v>
      </x:c>
      <x:c r="O22" s="2">
        <x:v>0</x:v>
      </x:c>
      <x:c r="P22" s="2">
        <x:v>0</x:v>
      </x:c>
      <x:c r="Q22" s="2">
        <x:v>0</x:v>
      </x:c>
      <x:c r="R22" s="2">
        <x:v>0</x:v>
      </x:c>
      <x:c r="S22" s="2">
        <x:v>0</x:v>
      </x:c>
      <x:c r="T22" s="2">
        <x:v>0</x:v>
      </x:c>
      <x:c r="U22" s="2">
        <x:v>0</x:v>
      </x:c>
      <x:c r="V22" s="2">
        <x:v>0</x:v>
      </x:c>
      <x:c r="W22" s="2">
        <x:v>0</x:v>
      </x:c>
      <x:c r="X22" s="2">
        <x:v>0</x:v>
      </x:c>
      <x:c r="Y22" s="2">
        <x:v>0</x:v>
      </x:c>
      <x:c r="Z22" s="2">
        <x:v>0</x:v>
      </x:c>
      <x:c r="AA22" s="2">
        <x:v>0</x:v>
      </x:c>
      <x:c r="AB22" s="2">
        <x:v>0</x:v>
      </x:c>
      <x:c r="AC22" s="2">
        <x:v>0</x:v>
      </x:c>
    </x:row>
    <x:row r="23" ht="19.950000762939453" customHeight="1">
      <x:c r="A23" s="6" t="s">
        <x:v>151</x:v>
      </x:c>
      <x:c r="B23" s="7"/>
      <x:c r="C23" s="7"/>
      <x:c r="D23" s="8" t="n">
        <x:f>D21+D22</x:f>
        <x:v>300000</x:v>
      </x:c>
      <x:c r="E23" s="8" t="n">
        <x:f t="shared" ref="E23:AC23" si="8">D23+E21+E22</x:f>
        <x:v>300000</x:v>
      </x:c>
      <x:c r="F23" s="8">
        <x:f t="shared" si="8"/>
        <x:v>410000</x:v>
      </x:c>
      <x:c r="G23" s="8">
        <x:f t="shared" si="8"/>
        <x:v>410000</x:v>
      </x:c>
      <x:c r="H23" s="8">
        <x:f t="shared" si="8"/>
        <x:v>410000</x:v>
      </x:c>
      <x:c r="I23" s="8">
        <x:f t="shared" si="8"/>
        <x:v>460000</x:v>
      </x:c>
      <x:c r="J23" s="8">
        <x:f t="shared" si="8"/>
        <x:v>460000</x:v>
      </x:c>
      <x:c r="K23" s="8">
        <x:f t="shared" si="8"/>
        <x:v>460000</x:v>
      </x:c>
      <x:c r="L23" s="8">
        <x:f t="shared" si="8"/>
        <x:v>460000</x:v>
      </x:c>
      <x:c r="M23" s="8">
        <x:f t="shared" si="8"/>
        <x:v>460000</x:v>
      </x:c>
      <x:c r="N23" s="8">
        <x:f t="shared" si="8"/>
        <x:v>460000</x:v>
      </x:c>
      <x:c r="O23" s="8">
        <x:f t="shared" si="8"/>
        <x:v>460000</x:v>
      </x:c>
      <x:c r="P23" s="8">
        <x:f t="shared" si="8"/>
        <x:v>460000</x:v>
      </x:c>
      <x:c r="Q23" s="8">
        <x:f t="shared" si="8"/>
        <x:v>460000</x:v>
      </x:c>
      <x:c r="R23" s="8">
        <x:f t="shared" si="8"/>
        <x:v>460000</x:v>
      </x:c>
      <x:c r="S23" s="8">
        <x:f t="shared" si="8"/>
        <x:v>460000</x:v>
      </x:c>
      <x:c r="T23" s="8">
        <x:f t="shared" si="8"/>
        <x:v>460000</x:v>
      </x:c>
      <x:c r="U23" s="8">
        <x:f t="shared" si="8"/>
        <x:v>460000</x:v>
      </x:c>
      <x:c r="V23" s="8">
        <x:f t="shared" si="8"/>
        <x:v>460000</x:v>
      </x:c>
      <x:c r="W23" s="8">
        <x:f t="shared" si="8"/>
        <x:v>460000</x:v>
      </x:c>
      <x:c r="X23" s="8">
        <x:f t="shared" si="8"/>
        <x:v>460000</x:v>
      </x:c>
      <x:c r="Y23" s="8">
        <x:f t="shared" si="8"/>
        <x:v>460000</x:v>
      </x:c>
      <x:c r="Z23" s="8">
        <x:f t="shared" si="8"/>
        <x:v>460000</x:v>
      </x:c>
      <x:c r="AA23" s="8">
        <x:f t="shared" si="8"/>
        <x:v>460000</x:v>
      </x:c>
      <x:c r="AB23" s="8">
        <x:f t="shared" si="8"/>
        <x:v>460000</x:v>
      </x:c>
      <x:c r="AC23" s="8">
        <x:f t="shared" si="8"/>
        <x:v>460000</x:v>
      </x:c>
    </x:row>
    <x:row r="24" ht="19.950000762939453" customHeight="1">
      <x:c r="A24" s="5" t="s">
        <x:v>46</x:v>
      </x:c>
      <x:c r="B24" s="1"/>
      <x:c r="C24" s="1"/>
      <x:c r="D24" s="2">
        <x:v>0</x:v>
      </x:c>
      <x:c r="E24" s="2">
        <x:v>0</x:v>
      </x:c>
      <x:c r="F24" s="2">
        <x:v>0</x:v>
      </x:c>
      <x:c r="G24" s="2">
        <x:v>0</x:v>
      </x:c>
      <x:c r="H24" s="2">
        <x:v>0</x:v>
      </x:c>
      <x:c r="I24" s="2">
        <x:v>0</x:v>
      </x:c>
      <x:c r="J24" s="2">
        <x:v>0</x:v>
      </x:c>
      <x:c r="K24" s="2">
        <x:v>0</x:v>
      </x:c>
      <x:c r="L24" s="2">
        <x:v>0</x:v>
      </x:c>
      <x:c r="M24" s="2">
        <x:v>0</x:v>
      </x:c>
      <x:c r="N24" s="2">
        <x:v>0</x:v>
      </x:c>
      <x:c r="O24" s="2">
        <x:v>0</x:v>
      </x:c>
      <x:c r="P24" s="2">
        <x:v>0</x:v>
      </x:c>
      <x:c r="Q24" s="2">
        <x:v>0</x:v>
      </x:c>
      <x:c r="R24" s="2">
        <x:v>0</x:v>
      </x:c>
      <x:c r="S24" s="2">
        <x:v>0</x:v>
      </x:c>
      <x:c r="T24" s="2">
        <x:v>0</x:v>
      </x:c>
      <x:c r="U24" s="2">
        <x:v>0</x:v>
      </x:c>
      <x:c r="V24" s="2">
        <x:v>0</x:v>
      </x:c>
      <x:c r="W24" s="2">
        <x:v>0</x:v>
      </x:c>
      <x:c r="X24" s="2">
        <x:v>0</x:v>
      </x:c>
      <x:c r="Y24" s="2">
        <x:v>0</x:v>
      </x:c>
      <x:c r="Z24" s="2" t="n">
        <x:f>Q19</x:f>
        <x:v>-4266.214880871336</x:v>
      </x:c>
      <x:c r="AA24" s="2">
        <x:v>0</x:v>
      </x:c>
      <x:c r="AB24" s="2">
        <x:v>0</x:v>
      </x:c>
      <x:c r="AC24" s="2">
        <x:v>0</x:v>
      </x:c>
    </x:row>
    <x:row r="25" ht="19.950000762939453" customHeight="1">
      <x:c r="A25" s="5" t="s">
        <x:v>152</x:v>
      </x:c>
      <x:c r="B25" s="1"/>
      <x:c r="C25" s="1"/>
      <x:c r="D25" s="2" t="n">
        <x:f>-D19+D24</x:f>
        <x:v>0</x:v>
      </x:c>
      <x:c r="E25" s="2" t="n">
        <x:f t="shared" ref="E25:AC25" si="9">D25-E19+E24</x:f>
        <x:v>0</x:v>
      </x:c>
      <x:c r="F25" s="2">
        <x:f t="shared" si="9"/>
        <x:v>0</x:v>
      </x:c>
      <x:c r="G25" s="2">
        <x:f t="shared" si="9"/>
        <x:v>0</x:v>
      </x:c>
      <x:c r="H25" s="2">
        <x:f t="shared" si="9"/>
        <x:v>0</x:v>
      </x:c>
      <x:c r="I25" s="2">
        <x:f t="shared" si="9"/>
        <x:v>0</x:v>
      </x:c>
      <x:c r="J25" s="2">
        <x:f t="shared" si="9"/>
        <x:v>0</x:v>
      </x:c>
      <x:c r="K25" s="2">
        <x:f t="shared" si="9"/>
        <x:v>0</x:v>
      </x:c>
      <x:c r="L25" s="2">
        <x:f t="shared" si="9"/>
        <x:v>0</x:v>
      </x:c>
      <x:c r="M25" s="2">
        <x:f t="shared" si="9"/>
        <x:v>0</x:v>
      </x:c>
      <x:c r="N25" s="2">
        <x:f t="shared" si="9"/>
        <x:v>0</x:v>
      </x:c>
      <x:c r="O25" s="2">
        <x:f t="shared" si="9"/>
        <x:v>0</x:v>
      </x:c>
      <x:c r="P25" s="2">
        <x:f t="shared" si="9"/>
        <x:v>0</x:v>
      </x:c>
      <x:c r="Q25" s="2">
        <x:f t="shared" si="9"/>
        <x:v>4266.2148808713364</x:v>
      </x:c>
      <x:c r="R25" s="2">
        <x:f t="shared" si="9"/>
        <x:v>4266.2148808713364</x:v>
      </x:c>
      <x:c r="S25" s="2">
        <x:f t="shared" si="9"/>
        <x:v>4266.2148808713364</x:v>
      </x:c>
      <x:c r="T25" s="2">
        <x:f t="shared" si="9"/>
        <x:v>4266.2148808713364</x:v>
      </x:c>
      <x:c r="U25" s="2">
        <x:f t="shared" si="9"/>
        <x:v>4266.2148808713364</x:v>
      </x:c>
      <x:c r="V25" s="2">
        <x:f t="shared" si="9"/>
        <x:v>4266.2148808713364</x:v>
      </x:c>
      <x:c r="W25" s="2">
        <x:f t="shared" si="9"/>
        <x:v>4266.2148808713364</x:v>
      </x:c>
      <x:c r="X25" s="2">
        <x:f t="shared" si="9"/>
        <x:v>4266.2148808713364</x:v>
      </x:c>
      <x:c r="Y25" s="2">
        <x:f t="shared" si="9"/>
        <x:v>4266.2148808713364</x:v>
      </x:c>
      <x:c r="Z25" s="2">
        <x:f t="shared" si="9"/>
        <x:v>0</x:v>
      </x:c>
      <x:c r="AA25" s="2">
        <x:f t="shared" si="9"/>
        <x:v>0</x:v>
      </x:c>
      <x:c r="AB25" s="2">
        <x:f t="shared" si="9"/>
        <x:v>0</x:v>
      </x:c>
      <x:c r="AC25" s="2">
        <x:f t="shared" si="9"/>
        <x:v>77777.778320871352</x:v>
      </x:c>
    </x:row>
    <x:row r="26" ht="19.950000762939453" customHeight="1">
      <x:c r="A26" s="5" t="s">
        <x:v>153</x:v>
      </x:c>
      <x:c r="B26" s="1"/>
      <x:c r="C26" s="1"/>
      <x:c r="D26" s="2" t="n">
        <x:f t="shared" ref="D26:AC26" si="10">D45+D46</x:f>
        <x:v>0</x:v>
      </x:c>
      <x:c r="E26" s="2">
        <x:f t="shared" si="10"/>
        <x:v>0</x:v>
      </x:c>
      <x:c r="F26" s="2">
        <x:f t="shared" si="10"/>
        <x:v>0</x:v>
      </x:c>
      <x:c r="G26" s="2">
        <x:f t="shared" si="10"/>
        <x:v>0</x:v>
      </x:c>
      <x:c r="H26" s="2">
        <x:f t="shared" si="10"/>
        <x:v>0</x:v>
      </x:c>
      <x:c r="I26" s="2">
        <x:f t="shared" si="10"/>
        <x:v>0</x:v>
      </x:c>
      <x:c r="J26" s="2">
        <x:f t="shared" si="10"/>
        <x:v>0</x:v>
      </x:c>
      <x:c r="K26" s="2">
        <x:f t="shared" si="10"/>
        <x:v>0</x:v>
      </x:c>
      <x:c r="L26" s="2">
        <x:f t="shared" si="10"/>
        <x:v>0</x:v>
      </x:c>
      <x:c r="M26" s="2">
        <x:f t="shared" si="10"/>
        <x:v>0</x:v>
      </x:c>
      <x:c r="N26" s="2">
        <x:f t="shared" si="10"/>
        <x:v>0</x:v>
      </x:c>
      <x:c r="O26" s="2">
        <x:f t="shared" si="10"/>
        <x:v>0</x:v>
      </x:c>
      <x:c r="P26" s="2">
        <x:f t="shared" si="10"/>
        <x:v>0</x:v>
      </x:c>
      <x:c r="Q26" s="2">
        <x:f t="shared" si="10"/>
        <x:v>0</x:v>
      </x:c>
      <x:c r="R26" s="2">
        <x:f t="shared" si="10"/>
        <x:v>0</x:v>
      </x:c>
      <x:c r="S26" s="2">
        <x:f t="shared" si="10"/>
        <x:v>0</x:v>
      </x:c>
      <x:c r="T26" s="2">
        <x:f t="shared" si="10"/>
        <x:v>0</x:v>
      </x:c>
      <x:c r="U26" s="2">
        <x:f t="shared" si="10"/>
        <x:v>0</x:v>
      </x:c>
      <x:c r="V26" s="2">
        <x:f t="shared" si="10"/>
        <x:v>0</x:v>
      </x:c>
      <x:c r="W26" s="2">
        <x:f t="shared" si="10"/>
        <x:v>0</x:v>
      </x:c>
      <x:c r="X26" s="2">
        <x:f t="shared" si="10"/>
        <x:v>0</x:v>
      </x:c>
      <x:c r="Y26" s="2">
        <x:f t="shared" si="10"/>
        <x:v>0</x:v>
      </x:c>
      <x:c r="Z26" s="2">
        <x:f t="shared" si="10"/>
        <x:v>0</x:v>
      </x:c>
      <x:c r="AA26" s="2">
        <x:f t="shared" si="10"/>
        <x:v>0</x:v>
      </x:c>
      <x:c r="AB26" s="2">
        <x:f t="shared" si="10"/>
        <x:v>0</x:v>
      </x:c>
      <x:c r="AC26" s="2">
        <x:f t="shared" si="10"/>
        <x:v>0</x:v>
      </x:c>
    </x:row>
    <x:row r="27" ht="19.950000762939453" customHeight="1">
      <x:c r="A27" s="6" t="s">
        <x:v>154</x:v>
      </x:c>
      <x:c r="B27" s="7"/>
      <x:c r="C27" s="7"/>
      <x:c r="D27" s="8" t="n">
        <x:f>D20+D26</x:f>
        <x:v>-46090.00000000001</x:v>
      </x:c>
      <x:c r="E27" s="8" t="n">
        <x:f t="shared" ref="E27:AC27" si="11">D27+E20+E26</x:f>
        <x:v>-70725.00000000001</x:v>
      </x:c>
      <x:c r="F27" s="8">
        <x:f t="shared" si="11"/>
        <x:v>-108725.00000000003</x:v>
      </x:c>
      <x:c r="G27" s="8">
        <x:f t="shared" si="11"/>
        <x:v>-139925.00000000003</x:v>
      </x:c>
      <x:c r="H27" s="8">
        <x:f t="shared" si="11"/>
        <x:v>-114450.00000000003</x:v>
      </x:c>
      <x:c r="I27" s="8">
        <x:f t="shared" si="11"/>
        <x:v>-135245.00000000003</x:v>
      </x:c>
      <x:c r="J27" s="8">
        <x:f t="shared" si="11"/>
        <x:v>-152360.00000000003</x:v>
      </x:c>
      <x:c r="K27" s="8">
        <x:f t="shared" si="11"/>
        <x:v>-108385.00000000003</x:v>
      </x:c>
      <x:c r="L27" s="8">
        <x:f t="shared" si="11"/>
        <x:v>-101865.00000000003</x:v>
      </x:c>
      <x:c r="M27" s="8">
        <x:f t="shared" si="11"/>
        <x:v>-82545.000000000029</x:v>
      </x:c>
      <x:c r="N27" s="8">
        <x:f t="shared" si="11"/>
        <x:v>11784.999999999971</x:v>
      </x:c>
      <x:c r="O27" s="8">
        <x:f t="shared" si="11"/>
        <x:v>52504.999999999971</x:v>
      </x:c>
      <x:c r="P27" s="8">
        <x:f t="shared" si="11"/>
        <x:v>91758.333333333299</x:v>
      </x:c>
      <x:c r="Q27" s="8">
        <x:f t="shared" si="11"/>
        <x:v>145246.45178579527</x:v>
      </x:c>
      <x:c r="R27" s="8">
        <x:f t="shared" si="11"/>
        <x:v>195171.78511912859</x:v>
      </x:c>
      <x:c r="S27" s="8">
        <x:f t="shared" si="11"/>
        <x:v>245097.1184524619</x:v>
      </x:c>
      <x:c r="T27" s="8">
        <x:f t="shared" si="11"/>
        <x:v>350912.45178579522</x:v>
      </x:c>
      <x:c r="U27" s="8">
        <x:f t="shared" si="11"/>
        <x:v>412576.98511912854</x:v>
      </x:c>
      <x:c r="V27" s="8">
        <x:f t="shared" si="11"/>
        <x:v>474241.51845246187</x:v>
      </x:c>
      <x:c r="W27" s="8">
        <x:f t="shared" si="11"/>
        <x:v>591796.05178579525</x:v>
      </x:c>
      <x:c r="X27" s="8">
        <x:f t="shared" si="11"/>
        <x:v>666373.70511912857</x:v>
      </x:c>
      <x:c r="Y27" s="8">
        <x:f t="shared" si="11"/>
        <x:v>740951.35845246189</x:v>
      </x:c>
      <x:c r="Z27" s="8">
        <x:f t="shared" si="11"/>
        <x:v>871419.01178579521</x:v>
      </x:c>
      <x:c r="AA27" s="8">
        <x:f t="shared" si="11"/>
        <x:v>960201.09711912856</x:v>
      </x:c>
      <x:c r="AB27" s="8">
        <x:f t="shared" si="11"/>
        <x:v>1048983.1824524619</x:v>
      </x:c>
      <x:c r="AC27" s="8">
        <x:f t="shared" si="11"/>
        <x:v>1033776.489464924</x:v>
      </x:c>
    </x:row>
    <x:row r="28" ht="19.950000762939453" customHeight="1">
      <x:c r="A28" s="5" t="s">
        <x:v>22</x:v>
      </x:c>
      <x:c r="B28" s="1"/>
      <x:c r="C28" s="1"/>
      <x:c r="D28" s="2" t="n">
        <x:f t="shared" ref="D28:AC28" si="12">D6+D7+D38+D24</x:f>
        <x:v>-46090.00000000001</x:v>
      </x:c>
      <x:c r="E28" s="2">
        <x:f t="shared" si="12"/>
        <x:v>-24635.000000000007</x:v>
      </x:c>
      <x:c r="F28" s="2">
        <x:f t="shared" si="12"/>
        <x:v>-38000.000000000007</x:v>
      </x:c>
      <x:c r="G28" s="2">
        <x:f t="shared" si="12"/>
        <x:v>-31200.000000000007</x:v>
      </x:c>
      <x:c r="H28" s="2">
        <x:f t="shared" si="12"/>
        <x:v>25474.999999999993</x:v>
      </x:c>
      <x:c r="I28" s="2">
        <x:f t="shared" si="12"/>
        <x:v>-20795.000000000007</x:v>
      </x:c>
      <x:c r="J28" s="2">
        <x:f t="shared" si="12"/>
        <x:v>-17115.000000000007</x:v>
      </x:c>
      <x:c r="K28" s="2">
        <x:f t="shared" si="12"/>
        <x:v>43974.999999999993</x:v>
      </x:c>
      <x:c r="L28" s="2">
        <x:f t="shared" si="12"/>
        <x:v>6520</x:v>
      </x:c>
      <x:c r="M28" s="2">
        <x:f t="shared" si="12"/>
        <x:v>19320</x:v>
      </x:c>
      <x:c r="N28" s="2">
        <x:f t="shared" si="12"/>
        <x:v>94330</x:v>
      </x:c>
      <x:c r="O28" s="2">
        <x:f t="shared" si="12"/>
        <x:v>40720</x:v>
      </x:c>
      <x:c r="P28" s="2">
        <x:f t="shared" si="12"/>
        <x:v>39253.333333333328</x:v>
      </x:c>
      <x:c r="Q28" s="2">
        <x:f t="shared" si="12"/>
        <x:v>95143.333333333328</x:v>
      </x:c>
      <x:c r="R28" s="2">
        <x:f t="shared" si="12"/>
        <x:v>49925.333333333328</x:v>
      </x:c>
      <x:c r="S28" s="2">
        <x:f t="shared" si="12"/>
        <x:v>49925.333333333328</x:v>
      </x:c>
      <x:c r="T28" s="2">
        <x:f t="shared" si="12"/>
        <x:v>105815.33333333333</x:v>
      </x:c>
      <x:c r="U28" s="2">
        <x:f t="shared" si="12"/>
        <x:v>61664.53333333334</x:v>
      </x:c>
      <x:c r="V28" s="2">
        <x:f t="shared" si="12"/>
        <x:v>61664.53333333334</x:v>
      </x:c>
      <x:c r="W28" s="2">
        <x:f t="shared" si="12"/>
        <x:v>117554.53333333334</x:v>
      </x:c>
      <x:c r="X28" s="2">
        <x:f t="shared" si="12"/>
        <x:v>74577.653333333365</x:v>
      </x:c>
      <x:c r="Y28" s="2">
        <x:f t="shared" si="12"/>
        <x:v>74577.653333333365</x:v>
      </x:c>
      <x:c r="Z28" s="2">
        <x:f t="shared" si="12"/>
        <x:v>126201.43845246203</x:v>
      </x:c>
      <x:c r="AA28" s="2">
        <x:f t="shared" si="12"/>
        <x:v>88782.085333333365</x:v>
      </x:c>
      <x:c r="AB28" s="2">
        <x:f t="shared" si="12"/>
        <x:v>88782.085333333365</x:v>
      </x:c>
      <x:c r="AC28" s="2">
        <x:f t="shared" si="12"/>
        <x:v>144672.08533333335</x:v>
      </x:c>
    </x:row>
    <x:row r="29" ht="19.950000762939453" customHeight="1">
      <x:c r="A29" s="5" t="s">
        <x:v>49</x:v>
      </x:c>
      <x:c r="B29" s="1"/>
      <x:c r="C29" s="1"/>
      <x:c r="D29" s="2" t="n">
        <x:f t="shared" ref="D29:AC29" si="13">-D8-D9-D38</x:f>
        <x:v>-43000</x:v>
      </x:c>
      <x:c r="E29" s="2">
        <x:f t="shared" si="13"/>
        <x:v>-143945</x:v>
      </x:c>
      <x:c r="F29" s="2">
        <x:f t="shared" si="13"/>
        <x:v>0</x:v>
      </x:c>
      <x:c r="G29" s="2">
        <x:f t="shared" si="13"/>
        <x:v>0</x:v>
      </x:c>
      <x:c r="H29" s="2">
        <x:f t="shared" si="13"/>
        <x:v>-55890</x:v>
      </x:c>
      <x:c r="I29" s="2">
        <x:f t="shared" si="13"/>
        <x:v>0</x:v>
      </x:c>
      <x:c r="J29" s="2">
        <x:f t="shared" si="13"/>
        <x:v>0</x:v>
      </x:c>
      <x:c r="K29" s="2">
        <x:f t="shared" si="13"/>
        <x:v>-55890</x:v>
      </x:c>
      <x:c r="L29" s="2">
        <x:f t="shared" si="13"/>
        <x:v>0</x:v>
      </x:c>
      <x:c r="M29" s="2">
        <x:f t="shared" si="13"/>
        <x:v>0</x:v>
      </x:c>
      <x:c r="N29" s="2">
        <x:f t="shared" si="13"/>
        <x:v>-55890</x:v>
      </x:c>
      <x:c r="O29" s="2">
        <x:f t="shared" si="13"/>
        <x:v>0</x:v>
      </x:c>
      <x:c r="P29" s="2">
        <x:f t="shared" si="13"/>
        <x:v>0</x:v>
      </x:c>
      <x:c r="Q29" s="2">
        <x:f t="shared" si="13"/>
        <x:v>-55890</x:v>
      </x:c>
      <x:c r="R29" s="2">
        <x:f t="shared" si="13"/>
        <x:v>0</x:v>
      </x:c>
      <x:c r="S29" s="2">
        <x:f t="shared" si="13"/>
        <x:v>0</x:v>
      </x:c>
      <x:c r="T29" s="2">
        <x:f t="shared" si="13"/>
        <x:v>-55890</x:v>
      </x:c>
      <x:c r="U29" s="2">
        <x:f t="shared" si="13"/>
        <x:v>0</x:v>
      </x:c>
      <x:c r="V29" s="2">
        <x:f t="shared" si="13"/>
        <x:v>0</x:v>
      </x:c>
      <x:c r="W29" s="2">
        <x:f t="shared" si="13"/>
        <x:v>-55890</x:v>
      </x:c>
      <x:c r="X29" s="2">
        <x:f t="shared" si="13"/>
        <x:v>0</x:v>
      </x:c>
      <x:c r="Y29" s="2">
        <x:f t="shared" si="13"/>
        <x:v>0</x:v>
      </x:c>
      <x:c r="Z29" s="2">
        <x:f t="shared" si="13"/>
        <x:v>-55890</x:v>
      </x:c>
      <x:c r="AA29" s="2">
        <x:f t="shared" si="13"/>
        <x:v>0</x:v>
      </x:c>
      <x:c r="AB29" s="2">
        <x:f t="shared" si="13"/>
        <x:v>0</x:v>
      </x:c>
      <x:c r="AC29" s="2">
        <x:f t="shared" si="13"/>
        <x:v>-55890</x:v>
      </x:c>
    </x:row>
    <x:row r="30" ht="19.950000762939453" customHeight="1">
      <x:c r="A30" s="5" t="s">
        <x:v>53</x:v>
      </x:c>
      <x:c r="B30" s="1"/>
      <x:c r="C30" s="1"/>
      <x:c r="D30" s="2" t="n">
        <x:f t="shared" ref="D30:AC30" si="14">D21+D22+D26+D43</x:f>
        <x:v>300000</x:v>
      </x:c>
      <x:c r="E30" s="2">
        <x:f t="shared" si="14"/>
        <x:v>0</x:v>
      </x:c>
      <x:c r="F30" s="2">
        <x:f t="shared" si="14"/>
        <x:v>110000</x:v>
      </x:c>
      <x:c r="G30" s="2">
        <x:f t="shared" si="14"/>
        <x:v>0</x:v>
      </x:c>
      <x:c r="H30" s="2">
        <x:f t="shared" si="14"/>
        <x:v>0</x:v>
      </x:c>
      <x:c r="I30" s="2">
        <x:f t="shared" si="14"/>
        <x:v>50000</x:v>
      </x:c>
      <x:c r="J30" s="2">
        <x:f t="shared" si="14"/>
        <x:v>0</x:v>
      </x:c>
      <x:c r="K30" s="2">
        <x:f t="shared" si="14"/>
        <x:v>0</x:v>
      </x:c>
      <x:c r="L30" s="2">
        <x:f t="shared" si="14"/>
        <x:v>0</x:v>
      </x:c>
      <x:c r="M30" s="2">
        <x:f t="shared" si="14"/>
        <x:v>0</x:v>
      </x:c>
      <x:c r="N30" s="2">
        <x:f t="shared" si="14"/>
        <x:v>0</x:v>
      </x:c>
      <x:c r="O30" s="2">
        <x:f t="shared" si="14"/>
        <x:v>0</x:v>
      </x:c>
      <x:c r="P30" s="2">
        <x:f t="shared" si="14"/>
        <x:v>0</x:v>
      </x:c>
      <x:c r="Q30" s="2">
        <x:f t="shared" si="14"/>
        <x:v>0</x:v>
      </x:c>
      <x:c r="R30" s="2">
        <x:f t="shared" si="14"/>
        <x:v>0</x:v>
      </x:c>
      <x:c r="S30" s="2">
        <x:f t="shared" si="14"/>
        <x:v>0</x:v>
      </x:c>
      <x:c r="T30" s="2">
        <x:f t="shared" si="14"/>
        <x:v>0</x:v>
      </x:c>
      <x:c r="U30" s="2">
        <x:f t="shared" si="14"/>
        <x:v>0</x:v>
      </x:c>
      <x:c r="V30" s="2">
        <x:f t="shared" si="14"/>
        <x:v>0</x:v>
      </x:c>
      <x:c r="W30" s="2">
        <x:f t="shared" si="14"/>
        <x:v>0</x:v>
      </x:c>
      <x:c r="X30" s="2">
        <x:f t="shared" si="14"/>
        <x:v>0</x:v>
      </x:c>
      <x:c r="Y30" s="2">
        <x:f t="shared" si="14"/>
        <x:v>0</x:v>
      </x:c>
      <x:c r="Z30" s="2">
        <x:f t="shared" si="14"/>
        <x:v>0</x:v>
      </x:c>
      <x:c r="AA30" s="2">
        <x:f t="shared" si="14"/>
        <x:v>0</x:v>
      </x:c>
      <x:c r="AB30" s="2">
        <x:f t="shared" si="14"/>
        <x:v>0</x:v>
      </x:c>
      <x:c r="AC30" s="2">
        <x:f t="shared" si="14"/>
        <x:v>0</x:v>
      </x:c>
    </x:row>
    <x:row r="31" ht="19.950000762939453" customHeight="1">
      <x:c r="A31" s="5" t="s">
        <x:v>54</x:v>
      </x:c>
      <x:c r="B31" s="1"/>
      <x:c r="C31" s="1"/>
      <x:c r="D31" s="2" t="n">
        <x:f t="shared" ref="D31:AC31" si="15">D28+D29+D30</x:f>
        <x:v>210910</x:v>
      </x:c>
      <x:c r="E31" s="2">
        <x:f t="shared" si="15"/>
        <x:v>-168580</x:v>
      </x:c>
      <x:c r="F31" s="2">
        <x:f t="shared" si="15"/>
        <x:v>72000</x:v>
      </x:c>
      <x:c r="G31" s="2">
        <x:f t="shared" si="15"/>
        <x:v>-31200.000000000007</x:v>
      </x:c>
      <x:c r="H31" s="2">
        <x:f t="shared" si="15"/>
        <x:v>-30415.000000000007</x:v>
      </x:c>
      <x:c r="I31" s="2">
        <x:f t="shared" si="15"/>
        <x:v>29204.999999999993</x:v>
      </x:c>
      <x:c r="J31" s="2">
        <x:f t="shared" si="15"/>
        <x:v>-17115.000000000007</x:v>
      </x:c>
      <x:c r="K31" s="2">
        <x:f t="shared" si="15"/>
        <x:v>-11915.000000000007</x:v>
      </x:c>
      <x:c r="L31" s="2">
        <x:f t="shared" si="15"/>
        <x:v>6520</x:v>
      </x:c>
      <x:c r="M31" s="2">
        <x:f t="shared" si="15"/>
        <x:v>19320</x:v>
      </x:c>
      <x:c r="N31" s="2">
        <x:f t="shared" si="15"/>
        <x:v>38440</x:v>
      </x:c>
      <x:c r="O31" s="2">
        <x:f t="shared" si="15"/>
        <x:v>40720</x:v>
      </x:c>
      <x:c r="P31" s="2">
        <x:f t="shared" si="15"/>
        <x:v>39253.333333333328</x:v>
      </x:c>
      <x:c r="Q31" s="2">
        <x:f t="shared" si="15"/>
        <x:v>39253.333333333328</x:v>
      </x:c>
      <x:c r="R31" s="2">
        <x:f t="shared" si="15"/>
        <x:v>49925.333333333328</x:v>
      </x:c>
      <x:c r="S31" s="2">
        <x:f t="shared" si="15"/>
        <x:v>49925.333333333328</x:v>
      </x:c>
      <x:c r="T31" s="2">
        <x:f t="shared" si="15"/>
        <x:v>49925.333333333328</x:v>
      </x:c>
      <x:c r="U31" s="2">
        <x:f t="shared" si="15"/>
        <x:v>61664.53333333334</x:v>
      </x:c>
      <x:c r="V31" s="2">
        <x:f t="shared" si="15"/>
        <x:v>61664.53333333334</x:v>
      </x:c>
      <x:c r="W31" s="2">
        <x:f t="shared" si="15"/>
        <x:v>61664.53333333334</x:v>
      </x:c>
      <x:c r="X31" s="2">
        <x:f t="shared" si="15"/>
        <x:v>74577.653333333365</x:v>
      </x:c>
      <x:c r="Y31" s="2">
        <x:f t="shared" si="15"/>
        <x:v>74577.653333333365</x:v>
      </x:c>
      <x:c r="Z31" s="2">
        <x:f t="shared" si="15"/>
        <x:v>70311.438452462025</x:v>
      </x:c>
      <x:c r="AA31" s="2">
        <x:f t="shared" si="15"/>
        <x:v>88782.085333333365</x:v>
      </x:c>
      <x:c r="AB31" s="2">
        <x:f t="shared" si="15"/>
        <x:v>88782.085333333365</x:v>
      </x:c>
      <x:c r="AC31" s="2">
        <x:f t="shared" si="15"/>
        <x:v>88782.085333333351</x:v>
      </x:c>
    </x:row>
    <x:row r="32" ht="19.950000762939453" customHeight="1">
      <x:c r="A32" s="5" t="s">
        <x:v>42</x:v>
      </x:c>
      <x:c r="B32" s="1"/>
      <x:c r="C32" s="1"/>
      <x:c r="D32" s="2">
        <x:v>0</x:v>
      </x:c>
      <x:c r="E32" s="2" t="n">
        <x:f t="shared" ref="E32:AC32" si="16">D33</x:f>
        <x:v>210910</x:v>
      </x:c>
      <x:c r="F32" s="2">
        <x:f t="shared" si="16"/>
        <x:v>42330</x:v>
      </x:c>
      <x:c r="G32" s="2">
        <x:f t="shared" si="16"/>
        <x:v>114330</x:v>
      </x:c>
      <x:c r="H32" s="2">
        <x:f t="shared" si="16"/>
        <x:v>83130</x:v>
      </x:c>
      <x:c r="I32" s="2">
        <x:f t="shared" si="16"/>
        <x:v>52714.999999999993</x:v>
      </x:c>
      <x:c r="J32" s="2">
        <x:f t="shared" si="16"/>
        <x:v>81919.999999999985</x:v>
      </x:c>
      <x:c r="K32" s="2">
        <x:f t="shared" si="16"/>
        <x:v>64804.999999999978</x:v>
      </x:c>
      <x:c r="L32" s="2">
        <x:f t="shared" si="16"/>
        <x:v>52889.999999999971</x:v>
      </x:c>
      <x:c r="M32" s="2">
        <x:f t="shared" si="16"/>
        <x:v>59409.999999999971</x:v>
      </x:c>
      <x:c r="N32" s="2">
        <x:f t="shared" si="16"/>
        <x:v>78729.999999999971</x:v>
      </x:c>
      <x:c r="O32" s="2">
        <x:f t="shared" si="16"/>
        <x:v>117169.99999999997</x:v>
      </x:c>
      <x:c r="P32" s="2">
        <x:f t="shared" si="16"/>
        <x:v>157889.99999999997</x:v>
      </x:c>
      <x:c r="Q32" s="2">
        <x:f t="shared" si="16"/>
        <x:v>197143.33333333331</x:v>
      </x:c>
      <x:c r="R32" s="2">
        <x:f t="shared" si="16"/>
        <x:v>236396.66666666663</x:v>
      </x:c>
      <x:c r="S32" s="2">
        <x:f t="shared" si="16"/>
        <x:v>286321.99999999994</x:v>
      </x:c>
      <x:c r="T32" s="2">
        <x:f t="shared" si="16"/>
        <x:v>336247.33333333326</x:v>
      </x:c>
      <x:c r="U32" s="2">
        <x:f t="shared" si="16"/>
        <x:v>386172.66666666657</x:v>
      </x:c>
      <x:c r="V32" s="2">
        <x:f t="shared" si="16"/>
        <x:v>447837.1999999999</x:v>
      </x:c>
      <x:c r="W32" s="2">
        <x:f t="shared" si="16"/>
        <x:v>509501.73333333322</x:v>
      </x:c>
      <x:c r="X32" s="2">
        <x:f t="shared" si="16"/>
        <x:v>571166.2666666666</x:v>
      </x:c>
      <x:c r="Y32" s="2">
        <x:f t="shared" si="16"/>
        <x:v>645743.91999999993</x:v>
      </x:c>
      <x:c r="Z32" s="2">
        <x:f t="shared" si="16"/>
        <x:v>720321.57333333325</x:v>
      </x:c>
      <x:c r="AA32" s="2">
        <x:f t="shared" si="16"/>
        <x:v>790633.01178579521</x:v>
      </x:c>
      <x:c r="AB32" s="2">
        <x:f t="shared" si="16"/>
        <x:v>879415.09711912856</x:v>
      </x:c>
      <x:c r="AC32" s="2">
        <x:f t="shared" si="16"/>
        <x:v>968197.18245246192</x:v>
      </x:c>
    </x:row>
    <x:row r="33" ht="19.950000762939453" customHeight="1">
      <x:c r="A33" s="6" t="s">
        <x:v>55</x:v>
      </x:c>
      <x:c r="B33" s="7"/>
      <x:c r="C33" s="7"/>
      <x:c r="D33" s="8" t="n">
        <x:f t="shared" ref="D33:AC33" si="17">D32+D31</x:f>
        <x:v>210910</x:v>
      </x:c>
      <x:c r="E33" s="8">
        <x:f t="shared" si="17"/>
        <x:v>42330</x:v>
      </x:c>
      <x:c r="F33" s="8">
        <x:f t="shared" si="17"/>
        <x:v>114330</x:v>
      </x:c>
      <x:c r="G33" s="8">
        <x:f t="shared" si="17"/>
        <x:v>83130</x:v>
      </x:c>
      <x:c r="H33" s="8">
        <x:f t="shared" si="17"/>
        <x:v>52714.999999999993</x:v>
      </x:c>
      <x:c r="I33" s="8">
        <x:f t="shared" si="17"/>
        <x:v>81919.999999999985</x:v>
      </x:c>
      <x:c r="J33" s="8">
        <x:f t="shared" si="17"/>
        <x:v>64804.999999999978</x:v>
      </x:c>
      <x:c r="K33" s="8">
        <x:f t="shared" si="17"/>
        <x:v>52889.999999999971</x:v>
      </x:c>
      <x:c r="L33" s="8">
        <x:f t="shared" si="17"/>
        <x:v>59409.999999999971</x:v>
      </x:c>
      <x:c r="M33" s="8">
        <x:f t="shared" si="17"/>
        <x:v>78729.999999999971</x:v>
      </x:c>
      <x:c r="N33" s="8">
        <x:f t="shared" si="17"/>
        <x:v>117169.99999999997</x:v>
      </x:c>
      <x:c r="O33" s="8">
        <x:f t="shared" si="17"/>
        <x:v>157889.99999999997</x:v>
      </x:c>
      <x:c r="P33" s="8">
        <x:f t="shared" si="17"/>
        <x:v>197143.33333333331</x:v>
      </x:c>
      <x:c r="Q33" s="8">
        <x:f t="shared" si="17"/>
        <x:v>236396.66666666663</x:v>
      </x:c>
      <x:c r="R33" s="8">
        <x:f t="shared" si="17"/>
        <x:v>286321.99999999994</x:v>
      </x:c>
      <x:c r="S33" s="8">
        <x:f t="shared" si="17"/>
        <x:v>336247.33333333326</x:v>
      </x:c>
      <x:c r="T33" s="8">
        <x:f t="shared" si="17"/>
        <x:v>386172.66666666657</x:v>
      </x:c>
      <x:c r="U33" s="8">
        <x:f t="shared" si="17"/>
        <x:v>447837.1999999999</x:v>
      </x:c>
      <x:c r="V33" s="8">
        <x:f t="shared" si="17"/>
        <x:v>509501.73333333322</x:v>
      </x:c>
      <x:c r="W33" s="8">
        <x:f t="shared" si="17"/>
        <x:v>571166.2666666666</x:v>
      </x:c>
      <x:c r="X33" s="8">
        <x:f t="shared" si="17"/>
        <x:v>645743.91999999993</x:v>
      </x:c>
      <x:c r="Y33" s="8">
        <x:f t="shared" si="17"/>
        <x:v>720321.57333333325</x:v>
      </x:c>
      <x:c r="Z33" s="8">
        <x:f t="shared" si="17"/>
        <x:v>790633.01178579521</x:v>
      </x:c>
      <x:c r="AA33" s="8">
        <x:f t="shared" si="17"/>
        <x:v>879415.09711912856</x:v>
      </x:c>
      <x:c r="AB33" s="8">
        <x:f t="shared" si="17"/>
        <x:v>968197.18245246192</x:v>
      </x:c>
      <x:c r="AC33" s="8">
        <x:f t="shared" si="17"/>
        <x:v>1056979.2677857953</x:v>
      </x:c>
    </x:row>
    <x:row r="34" ht="19.950000762939453" customHeight="1">
      <x:c r="A34" s="65" t="str">
        <x:v>Total assets</x:v>
      </x:c>
      <x:c r="B34" s="7"/>
      <x:c r="C34" s="7"/>
      <x:c r="D34" s="8" t="n">
        <x:f t="shared" ref="D34:AC34" si="18">SUM(D33,D16,D17,D42,D52)</x:f>
        <x:v>253910</x:v>
      </x:c>
      <x:c r="E34" s="8">
        <x:f t="shared" si="18"/>
        <x:v>229275</x:v>
      </x:c>
      <x:c r="F34" s="8">
        <x:f t="shared" si="18"/>
        <x:v>301275</x:v>
      </x:c>
      <x:c r="G34" s="8">
        <x:f t="shared" si="18"/>
        <x:v>270075</x:v>
      </x:c>
      <x:c r="H34" s="8">
        <x:f t="shared" si="18"/>
        <x:v>295550</x:v>
      </x:c>
      <x:c r="I34" s="8">
        <x:f t="shared" si="18"/>
        <x:v>324755</x:v>
      </x:c>
      <x:c r="J34" s="8">
        <x:f t="shared" si="18"/>
        <x:v>307640</x:v>
      </x:c>
      <x:c r="K34" s="8">
        <x:f t="shared" si="18"/>
        <x:v>351615</x:v>
      </x:c>
      <x:c r="L34" s="8">
        <x:f t="shared" si="18"/>
        <x:v>358135</x:v>
      </x:c>
      <x:c r="M34" s="8">
        <x:f t="shared" si="18"/>
        <x:v>377455</x:v>
      </x:c>
      <x:c r="N34" s="8">
        <x:f t="shared" si="18"/>
        <x:v>471785</x:v>
      </x:c>
      <x:c r="O34" s="8">
        <x:f t="shared" si="18"/>
        <x:v>512505</x:v>
      </x:c>
      <x:c r="P34" s="8">
        <x:f t="shared" si="18"/>
        <x:v>551758.33333333326</x:v>
      </x:c>
      <x:c r="Q34" s="8">
        <x:f t="shared" si="18"/>
        <x:v>609512.66666666663</x:v>
      </x:c>
      <x:c r="R34" s="8">
        <x:f t="shared" si="18"/>
        <x:v>659438</x:v>
      </x:c>
      <x:c r="S34" s="8">
        <x:f t="shared" si="18"/>
        <x:v>709363.33333333326</x:v>
      </x:c>
      <x:c r="T34" s="8">
        <x:f t="shared" si="18"/>
        <x:v>815178.66666666651</x:v>
      </x:c>
      <x:c r="U34" s="8">
        <x:f t="shared" si="18"/>
        <x:v>876843.2</x:v>
      </x:c>
      <x:c r="V34" s="8">
        <x:f t="shared" si="18"/>
        <x:v>938507.73333333316</x:v>
      </x:c>
      <x:c r="W34" s="8">
        <x:f t="shared" si="18"/>
        <x:v>1056062.2666666666</x:v>
      </x:c>
      <x:c r="X34" s="8">
        <x:f t="shared" si="18"/>
        <x:v>1130639.92</x:v>
      </x:c>
      <x:c r="Y34" s="8">
        <x:f t="shared" si="18"/>
        <x:v>1205217.5733333332</x:v>
      </x:c>
      <x:c r="Z34" s="8">
        <x:f t="shared" si="18"/>
        <x:v>1331419.0117857952</x:v>
      </x:c>
      <x:c r="AA34" s="8">
        <x:f t="shared" si="18"/>
        <x:v>1420201.0971191286</x:v>
      </x:c>
      <x:c r="AB34" s="8">
        <x:f t="shared" si="18"/>
        <x:v>1508983.1824524619</x:v>
      </x:c>
      <x:c r="AC34" s="8">
        <x:f t="shared" si="18"/>
        <x:v>1571554.2677857953</x:v>
      </x:c>
    </x:row>
    <x:row r="35" ht="19.950000762939453" customHeight="1">
      <x:c r="A35" s="6" t="s">
        <x:v>155</x:v>
      </x:c>
      <x:c r="B35" s="7"/>
      <x:c r="C35" s="7"/>
      <x:c r="D35" s="8" t="n">
        <x:f t="shared" ref="D35:AC35" si="19">D23+D25</x:f>
        <x:v>300000</x:v>
      </x:c>
      <x:c r="E35" s="8">
        <x:f t="shared" si="19"/>
        <x:v>300000</x:v>
      </x:c>
      <x:c r="F35" s="8">
        <x:f t="shared" si="19"/>
        <x:v>410000</x:v>
      </x:c>
      <x:c r="G35" s="8">
        <x:f t="shared" si="19"/>
        <x:v>410000</x:v>
      </x:c>
      <x:c r="H35" s="8">
        <x:f t="shared" si="19"/>
        <x:v>410000</x:v>
      </x:c>
      <x:c r="I35" s="8">
        <x:f t="shared" si="19"/>
        <x:v>460000</x:v>
      </x:c>
      <x:c r="J35" s="8">
        <x:f t="shared" si="19"/>
        <x:v>460000</x:v>
      </x:c>
      <x:c r="K35" s="8">
        <x:f t="shared" si="19"/>
        <x:v>460000</x:v>
      </x:c>
      <x:c r="L35" s="8">
        <x:f t="shared" si="19"/>
        <x:v>460000</x:v>
      </x:c>
      <x:c r="M35" s="8">
        <x:f t="shared" si="19"/>
        <x:v>460000</x:v>
      </x:c>
      <x:c r="N35" s="8">
        <x:f t="shared" si="19"/>
        <x:v>460000</x:v>
      </x:c>
      <x:c r="O35" s="8">
        <x:f t="shared" si="19"/>
        <x:v>460000</x:v>
      </x:c>
      <x:c r="P35" s="8">
        <x:f t="shared" si="19"/>
        <x:v>460000</x:v>
      </x:c>
      <x:c r="Q35" s="8">
        <x:f t="shared" si="19"/>
        <x:v>464266.21488087135</x:v>
      </x:c>
      <x:c r="R35" s="8">
        <x:f t="shared" si="19"/>
        <x:v>464266.21488087135</x:v>
      </x:c>
      <x:c r="S35" s="8">
        <x:f t="shared" si="19"/>
        <x:v>464266.21488087135</x:v>
      </x:c>
      <x:c r="T35" s="8">
        <x:f t="shared" si="19"/>
        <x:v>464266.21488087135</x:v>
      </x:c>
      <x:c r="U35" s="8">
        <x:f t="shared" si="19"/>
        <x:v>464266.21488087135</x:v>
      </x:c>
      <x:c r="V35" s="8">
        <x:f t="shared" si="19"/>
        <x:v>464266.21488087135</x:v>
      </x:c>
      <x:c r="W35" s="8">
        <x:f t="shared" si="19"/>
        <x:v>464266.21488087135</x:v>
      </x:c>
      <x:c r="X35" s="8">
        <x:f t="shared" si="19"/>
        <x:v>464266.21488087135</x:v>
      </x:c>
      <x:c r="Y35" s="8">
        <x:f t="shared" si="19"/>
        <x:v>464266.21488087135</x:v>
      </x:c>
      <x:c r="Z35" s="8">
        <x:f t="shared" si="19"/>
        <x:v>460000</x:v>
      </x:c>
      <x:c r="AA35" s="8">
        <x:f t="shared" si="19"/>
        <x:v>460000</x:v>
      </x:c>
      <x:c r="AB35" s="8">
        <x:f t="shared" si="19"/>
        <x:v>460000</x:v>
      </x:c>
      <x:c r="AC35" s="8">
        <x:f t="shared" si="19"/>
        <x:v>537777.77832087129</x:v>
      </x:c>
    </x:row>
    <x:row r="36" ht="19.950000762939453" customHeight="1">
      <x:c r="A36" s="65" t="str">
        <x:v>Capital and retained results</x:v>
      </x:c>
      <x:c r="B36" s="7"/>
      <x:c r="C36" s="7"/>
      <x:c r="D36" s="8" t="n">
        <x:f t="shared" ref="D36:AC36" si="20">SUM(D27,D44,D52)</x:f>
        <x:v>-46090.00000000001</x:v>
      </x:c>
      <x:c r="E36" s="8">
        <x:f t="shared" si="20"/>
        <x:v>-70725.000000000015</x:v>
      </x:c>
      <x:c r="F36" s="8">
        <x:f t="shared" si="20"/>
        <x:v>-108725.00000000003</x:v>
      </x:c>
      <x:c r="G36" s="8">
        <x:f t="shared" si="20"/>
        <x:v>-139925.00000000003</x:v>
      </x:c>
      <x:c r="H36" s="8">
        <x:f t="shared" si="20"/>
        <x:v>-114450.00000000003</x:v>
      </x:c>
      <x:c r="I36" s="8">
        <x:f t="shared" si="20"/>
        <x:v>-135245.00000000003</x:v>
      </x:c>
      <x:c r="J36" s="8">
        <x:f t="shared" si="20"/>
        <x:v>-152360.00000000003</x:v>
      </x:c>
      <x:c r="K36" s="8">
        <x:f t="shared" si="20"/>
        <x:v>-108385.00000000003</x:v>
      </x:c>
      <x:c r="L36" s="8">
        <x:f t="shared" si="20"/>
        <x:v>-101865.00000000003</x:v>
      </x:c>
      <x:c r="M36" s="8">
        <x:f t="shared" si="20"/>
        <x:v>-82545.000000000029</x:v>
      </x:c>
      <x:c r="N36" s="8">
        <x:f t="shared" si="20"/>
        <x:v>11784.999999999971</x:v>
      </x:c>
      <x:c r="O36" s="8">
        <x:f t="shared" si="20"/>
        <x:v>52504.999999999971</x:v>
      </x:c>
      <x:c r="P36" s="8">
        <x:f t="shared" si="20"/>
        <x:v>91758.333333333299</x:v>
      </x:c>
      <x:c r="Q36" s="8">
        <x:f t="shared" si="20"/>
        <x:v>145246.45178579527</x:v>
      </x:c>
      <x:c r="R36" s="8">
        <x:f t="shared" si="20"/>
        <x:v>195171.78511912859</x:v>
      </x:c>
      <x:c r="S36" s="8">
        <x:f t="shared" si="20"/>
        <x:v>245097.1184524619</x:v>
      </x:c>
      <x:c r="T36" s="8">
        <x:f t="shared" si="20"/>
        <x:v>350912.45178579522</x:v>
      </x:c>
      <x:c r="U36" s="8">
        <x:f t="shared" si="20"/>
        <x:v>412576.98511912854</x:v>
      </x:c>
      <x:c r="V36" s="8">
        <x:f t="shared" si="20"/>
        <x:v>474241.51845246187</x:v>
      </x:c>
      <x:c r="W36" s="8">
        <x:f t="shared" si="20"/>
        <x:v>591796.05178579525</x:v>
      </x:c>
      <x:c r="X36" s="8">
        <x:f t="shared" si="20"/>
        <x:v>666373.70511912857</x:v>
      </x:c>
      <x:c r="Y36" s="8">
        <x:f t="shared" si="20"/>
        <x:v>740951.35845246189</x:v>
      </x:c>
      <x:c r="Z36" s="8">
        <x:f t="shared" si="20"/>
        <x:v>871419.01178579521</x:v>
      </x:c>
      <x:c r="AA36" s="8">
        <x:f t="shared" si="20"/>
        <x:v>960201.09711912856</x:v>
      </x:c>
      <x:c r="AB36" s="8">
        <x:f t="shared" si="20"/>
        <x:v>1048983.1824524619</x:v>
      </x:c>
      <x:c r="AC36" s="8">
        <x:f t="shared" si="20"/>
        <x:v>1033776.489464924</x:v>
      </x:c>
    </x:row>
    <x:row r="37" ht="19.950000762939453" customHeight="1">
      <x:c r="A37" s="6" t="s">
        <x:v>156</x:v>
      </x:c>
      <x:c r="B37" s="7"/>
      <x:c r="C37" s="7"/>
      <x:c r="D37" s="8" t="n">
        <x:f t="shared" ref="D37:AC37" si="21">ROUND(D34-D35-D36,2)</x:f>
        <x:v>0</x:v>
      </x:c>
      <x:c r="E37" s="8">
        <x:f t="shared" si="21"/>
        <x:v>0</x:v>
      </x:c>
      <x:c r="F37" s="8">
        <x:f t="shared" si="21"/>
        <x:v>0</x:v>
      </x:c>
      <x:c r="G37" s="8">
        <x:f t="shared" si="21"/>
        <x:v>0</x:v>
      </x:c>
      <x:c r="H37" s="8">
        <x:f t="shared" si="21"/>
        <x:v>0</x:v>
      </x:c>
      <x:c r="I37" s="8">
        <x:f t="shared" si="21"/>
        <x:v>0</x:v>
      </x:c>
      <x:c r="J37" s="8">
        <x:f t="shared" si="21"/>
        <x:v>0</x:v>
      </x:c>
      <x:c r="K37" s="8">
        <x:f t="shared" si="21"/>
        <x:v>0</x:v>
      </x:c>
      <x:c r="L37" s="8">
        <x:f t="shared" si="21"/>
        <x:v>0</x:v>
      </x:c>
      <x:c r="M37" s="8">
        <x:f t="shared" si="21"/>
        <x:v>0</x:v>
      </x:c>
      <x:c r="N37" s="8">
        <x:f t="shared" si="21"/>
        <x:v>0</x:v>
      </x:c>
      <x:c r="O37" s="8">
        <x:f t="shared" si="21"/>
        <x:v>0</x:v>
      </x:c>
      <x:c r="P37" s="8">
        <x:f t="shared" si="21"/>
        <x:v>0</x:v>
      </x:c>
      <x:c r="Q37" s="8">
        <x:f t="shared" si="21"/>
        <x:v>0</x:v>
      </x:c>
      <x:c r="R37" s="8">
        <x:f t="shared" si="21"/>
        <x:v>0</x:v>
      </x:c>
      <x:c r="S37" s="8">
        <x:f t="shared" si="21"/>
        <x:v>0</x:v>
      </x:c>
      <x:c r="T37" s="8">
        <x:f t="shared" si="21"/>
        <x:v>0</x:v>
      </x:c>
      <x:c r="U37" s="8">
        <x:f t="shared" si="21"/>
        <x:v>0</x:v>
      </x:c>
      <x:c r="V37" s="8">
        <x:f t="shared" si="21"/>
        <x:v>0</x:v>
      </x:c>
      <x:c r="W37" s="8">
        <x:f t="shared" si="21"/>
        <x:v>0</x:v>
      </x:c>
      <x:c r="X37" s="8">
        <x:f t="shared" si="21"/>
        <x:v>0</x:v>
      </x:c>
      <x:c r="Y37" s="8">
        <x:f t="shared" si="21"/>
        <x:v>0</x:v>
      </x:c>
      <x:c r="Z37" s="8">
        <x:f t="shared" si="21"/>
        <x:v>0</x:v>
      </x:c>
      <x:c r="AA37" s="8">
        <x:f t="shared" si="21"/>
        <x:v>0</x:v>
      </x:c>
      <x:c r="AB37" s="8">
        <x:f t="shared" si="21"/>
        <x:v>0</x:v>
      </x:c>
      <x:c r="AC37" s="8">
        <x:f t="shared" si="21"/>
        <x:v>0</x:v>
      </x:c>
    </x:row>
    <x:row r="38" ht="19.950000762939453" customHeight="1">
      <x:c r="A38" s="5" t="s">
        <x:v>157</x:v>
      </x:c>
      <x:c r="B38" s="1"/>
      <x:c r="C38" s="1"/>
      <x:c r="D38" s="2" t="n">
        <x:f>'Base Monthly'!D38</x:f>
        <x:v>0</x:v>
      </x:c>
      <x:c r="E38" s="2" t="n">
        <x:f>'Base Monthly'!E38</x:f>
        <x:v>27945</x:v>
      </x:c>
      <x:c r="F38" s="2" t="n">
        <x:f>'Base Monthly'!F38</x:f>
        <x:v>0</x:v>
      </x:c>
      <x:c r="G38" s="2" t="n">
        <x:f>'Base Monthly'!G38</x:f>
        <x:v>0</x:v>
      </x:c>
      <x:c r="H38" s="2" t="n">
        <x:f>'Base Monthly'!H38</x:f>
        <x:v>55890</x:v>
      </x:c>
      <x:c r="I38" s="2" t="n">
        <x:f>'Base Monthly'!I38</x:f>
        <x:v>0</x:v>
      </x:c>
      <x:c r="J38" s="2" t="n">
        <x:f>'Base Monthly'!J38</x:f>
        <x:v>0</x:v>
      </x:c>
      <x:c r="K38" s="2" t="n">
        <x:f>'Base Monthly'!K38</x:f>
        <x:v>55890</x:v>
      </x:c>
      <x:c r="L38" s="2" t="n">
        <x:f>'Base Monthly'!L38</x:f>
        <x:v>0</x:v>
      </x:c>
      <x:c r="M38" s="2" t="n">
        <x:f>'Base Monthly'!M38</x:f>
        <x:v>0</x:v>
      </x:c>
      <x:c r="N38" s="2" t="n">
        <x:f>'Base Monthly'!N38</x:f>
        <x:v>55890</x:v>
      </x:c>
      <x:c r="O38" s="2" t="n">
        <x:f>'Base Monthly'!O38</x:f>
        <x:v>0</x:v>
      </x:c>
      <x:c r="P38" s="2" t="n">
        <x:f>'Base Monthly'!P38</x:f>
        <x:v>0</x:v>
      </x:c>
      <x:c r="Q38" s="2" t="n">
        <x:f>'Base Monthly'!Q38</x:f>
        <x:v>55890</x:v>
      </x:c>
      <x:c r="R38" s="2" t="n">
        <x:f>'Base Monthly'!R38</x:f>
        <x:v>0</x:v>
      </x:c>
      <x:c r="S38" s="2" t="n">
        <x:f>'Base Monthly'!S38</x:f>
        <x:v>0</x:v>
      </x:c>
      <x:c r="T38" s="2" t="n">
        <x:f>'Base Monthly'!T38</x:f>
        <x:v>55890</x:v>
      </x:c>
      <x:c r="U38" s="2" t="n">
        <x:f>'Base Monthly'!U38</x:f>
        <x:v>0</x:v>
      </x:c>
      <x:c r="V38" s="2" t="n">
        <x:f>'Base Monthly'!V38</x:f>
        <x:v>0</x:v>
      </x:c>
      <x:c r="W38" s="2" t="n">
        <x:f>'Base Monthly'!W38</x:f>
        <x:v>55890</x:v>
      </x:c>
      <x:c r="X38" s="2" t="n">
        <x:f>'Base Monthly'!X38</x:f>
        <x:v>0</x:v>
      </x:c>
      <x:c r="Y38" s="2" t="n">
        <x:f>'Base Monthly'!Y38</x:f>
        <x:v>0</x:v>
      </x:c>
      <x:c r="Z38" s="2" t="n">
        <x:f>'Base Monthly'!Z38</x:f>
        <x:v>55890</x:v>
      </x:c>
      <x:c r="AA38" s="2" t="n">
        <x:f>'Base Monthly'!AA38</x:f>
        <x:v>0</x:v>
      </x:c>
      <x:c r="AB38" s="2" t="n">
        <x:f>'Base Monthly'!AB38</x:f>
        <x:v>0</x:v>
      </x:c>
      <x:c r="AC38" s="2" t="n">
        <x:f>'Base Monthly'!AC38</x:f>
        <x:v>55890</x:v>
      </x:c>
    </x:row>
    <x:row r="39" ht="19.950000762939453" customHeight="1">
      <x:c r="A39" s="5" t="s">
        <x:v>158</x:v>
      </x:c>
      <x:c r="B39" s="1"/>
      <x:c r="C39" s="1"/>
      <x:c r="D39" s="2" t="n">
        <x:f>D38</x:f>
        <x:v>0</x:v>
      </x:c>
      <x:c r="E39" s="2" t="n">
        <x:f t="shared" ref="E39:AC39" si="22">D39+E38</x:f>
        <x:v>27945</x:v>
      </x:c>
      <x:c r="F39" s="2">
        <x:f t="shared" si="22"/>
        <x:v>27945</x:v>
      </x:c>
      <x:c r="G39" s="2">
        <x:f t="shared" si="22"/>
        <x:v>27945</x:v>
      </x:c>
      <x:c r="H39" s="2">
        <x:f t="shared" si="22"/>
        <x:v>83835</x:v>
      </x:c>
      <x:c r="I39" s="2">
        <x:f t="shared" si="22"/>
        <x:v>83835</x:v>
      </x:c>
      <x:c r="J39" s="2">
        <x:f t="shared" si="22"/>
        <x:v>83835</x:v>
      </x:c>
      <x:c r="K39" s="2">
        <x:f t="shared" si="22"/>
        <x:v>139725</x:v>
      </x:c>
      <x:c r="L39" s="2">
        <x:f t="shared" si="22"/>
        <x:v>139725</x:v>
      </x:c>
      <x:c r="M39" s="2">
        <x:f t="shared" si="22"/>
        <x:v>139725</x:v>
      </x:c>
      <x:c r="N39" s="2">
        <x:f t="shared" si="22"/>
        <x:v>195615</x:v>
      </x:c>
      <x:c r="O39" s="2">
        <x:f t="shared" si="22"/>
        <x:v>195615</x:v>
      </x:c>
      <x:c r="P39" s="2">
        <x:f t="shared" si="22"/>
        <x:v>195615</x:v>
      </x:c>
      <x:c r="Q39" s="2">
        <x:f t="shared" si="22"/>
        <x:v>251505</x:v>
      </x:c>
      <x:c r="R39" s="2">
        <x:f t="shared" si="22"/>
        <x:v>251505</x:v>
      </x:c>
      <x:c r="S39" s="2">
        <x:f t="shared" si="22"/>
        <x:v>251505</x:v>
      </x:c>
      <x:c r="T39" s="2">
        <x:f t="shared" si="22"/>
        <x:v>307395</x:v>
      </x:c>
      <x:c r="U39" s="2">
        <x:f t="shared" si="22"/>
        <x:v>307395</x:v>
      </x:c>
      <x:c r="V39" s="2">
        <x:f t="shared" si="22"/>
        <x:v>307395</x:v>
      </x:c>
      <x:c r="W39" s="2">
        <x:f t="shared" si="22"/>
        <x:v>363285</x:v>
      </x:c>
      <x:c r="X39" s="2">
        <x:f t="shared" si="22"/>
        <x:v>363285</x:v>
      </x:c>
      <x:c r="Y39" s="2">
        <x:f t="shared" si="22"/>
        <x:v>363285</x:v>
      </x:c>
      <x:c r="Z39" s="2">
        <x:f t="shared" si="22"/>
        <x:v>419175</x:v>
      </x:c>
      <x:c r="AA39" s="2">
        <x:f t="shared" si="22"/>
        <x:v>419175</x:v>
      </x:c>
      <x:c r="AB39" s="2">
        <x:f t="shared" si="22"/>
        <x:v>419175</x:v>
      </x:c>
      <x:c r="AC39" s="2">
        <x:f t="shared" si="22"/>
        <x:v>475065</x:v>
      </x:c>
    </x:row>
    <x:row r="40" ht="19.950000762939453" customHeight="1">
      <x:c r="A40" s="5" t="s">
        <x:v>159</x:v>
      </x:c>
      <x:c r="B40" s="1"/>
      <x:c r="C40" s="1"/>
      <x:c r="D40" s="2">
        <x:v>0</x:v>
      </x:c>
      <x:c r="E40" s="2">
        <x:v>0</x:v>
      </x:c>
      <x:c r="F40" s="2">
        <x:v>0</x:v>
      </x:c>
      <x:c r="G40" s="2">
        <x:v>0</x:v>
      </x:c>
      <x:c r="H40" s="2">
        <x:v>0</x:v>
      </x:c>
      <x:c r="I40" s="2">
        <x:v>0</x:v>
      </x:c>
      <x:c r="J40" s="2">
        <x:v>0</x:v>
      </x:c>
      <x:c r="K40" s="2">
        <x:v>0</x:v>
      </x:c>
      <x:c r="L40" s="2">
        <x:v>0</x:v>
      </x:c>
      <x:c r="M40" s="2">
        <x:v>0</x:v>
      </x:c>
      <x:c r="N40" s="2">
        <x:v>0</x:v>
      </x:c>
      <x:c r="O40" s="2">
        <x:v>0</x:v>
      </x:c>
      <x:c r="P40" s="2">
        <x:v>0</x:v>
      </x:c>
      <x:c r="Q40" s="2" t="n">
        <x:f>-E39*Inputs!$B$9</x:f>
        <x:v>-5589</x:v>
      </x:c>
      <x:c r="R40" s="2">
        <x:v>0</x:v>
      </x:c>
      <x:c r="S40" s="2">
        <x:v>0</x:v>
      </x:c>
      <x:c r="T40" s="2">
        <x:v>0</x:v>
      </x:c>
      <x:c r="U40" s="2">
        <x:v>0</x:v>
      </x:c>
      <x:c r="V40" s="2">
        <x:v>0</x:v>
      </x:c>
      <x:c r="W40" s="2">
        <x:v>0</x:v>
      </x:c>
      <x:c r="X40" s="2">
        <x:v>0</x:v>
      </x:c>
      <x:c r="Y40" s="2">
        <x:v>0</x:v>
      </x:c>
      <x:c r="Z40" s="2">
        <x:v>0</x:v>
      </x:c>
      <x:c r="AA40" s="2">
        <x:v>0</x:v>
      </x:c>
      <x:c r="AB40" s="2">
        <x:v>0</x:v>
      </x:c>
      <x:c r="AC40" s="2" t="n">
        <x:f>-Q39*Inputs!$B$9</x:f>
        <x:v>-50301</x:v>
      </x:c>
    </x:row>
    <x:row r="41" ht="19.950000762939453" customHeight="1">
      <x:c r="A41" s="5" t="s">
        <x:v>160</x:v>
      </x:c>
      <x:c r="B41" s="1"/>
      <x:c r="C41" s="1"/>
      <x:c r="D41" s="2" t="n">
        <x:f>-D40</x:f>
        <x:v>0</x:v>
      </x:c>
      <x:c r="E41" s="2" t="n">
        <x:f t="shared" ref="E41:AC41" si="23">D41-E40</x:f>
        <x:v>0</x:v>
      </x:c>
      <x:c r="F41" s="2">
        <x:f t="shared" si="23"/>
        <x:v>0</x:v>
      </x:c>
      <x:c r="G41" s="2">
        <x:f t="shared" si="23"/>
        <x:v>0</x:v>
      </x:c>
      <x:c r="H41" s="2">
        <x:f t="shared" si="23"/>
        <x:v>0</x:v>
      </x:c>
      <x:c r="I41" s="2">
        <x:f t="shared" si="23"/>
        <x:v>0</x:v>
      </x:c>
      <x:c r="J41" s="2">
        <x:f t="shared" si="23"/>
        <x:v>0</x:v>
      </x:c>
      <x:c r="K41" s="2">
        <x:f t="shared" si="23"/>
        <x:v>0</x:v>
      </x:c>
      <x:c r="L41" s="2">
        <x:f t="shared" si="23"/>
        <x:v>0</x:v>
      </x:c>
      <x:c r="M41" s="2">
        <x:f t="shared" si="23"/>
        <x:v>0</x:v>
      </x:c>
      <x:c r="N41" s="2">
        <x:f t="shared" si="23"/>
        <x:v>0</x:v>
      </x:c>
      <x:c r="O41" s="2">
        <x:f t="shared" si="23"/>
        <x:v>0</x:v>
      </x:c>
      <x:c r="P41" s="2">
        <x:f t="shared" si="23"/>
        <x:v>0</x:v>
      </x:c>
      <x:c r="Q41" s="2">
        <x:f t="shared" si="23"/>
        <x:v>5589</x:v>
      </x:c>
      <x:c r="R41" s="2">
        <x:f t="shared" si="23"/>
        <x:v>5589</x:v>
      </x:c>
      <x:c r="S41" s="2">
        <x:f t="shared" si="23"/>
        <x:v>5589</x:v>
      </x:c>
      <x:c r="T41" s="2">
        <x:f t="shared" si="23"/>
        <x:v>5589</x:v>
      </x:c>
      <x:c r="U41" s="2">
        <x:f t="shared" si="23"/>
        <x:v>5589</x:v>
      </x:c>
      <x:c r="V41" s="2">
        <x:f t="shared" si="23"/>
        <x:v>5589</x:v>
      </x:c>
      <x:c r="W41" s="2">
        <x:f t="shared" si="23"/>
        <x:v>5589</x:v>
      </x:c>
      <x:c r="X41" s="2">
        <x:f t="shared" si="23"/>
        <x:v>5589</x:v>
      </x:c>
      <x:c r="Y41" s="2">
        <x:f t="shared" si="23"/>
        <x:v>5589</x:v>
      </x:c>
      <x:c r="Z41" s="2">
        <x:f t="shared" si="23"/>
        <x:v>5589</x:v>
      </x:c>
      <x:c r="AA41" s="2">
        <x:f t="shared" si="23"/>
        <x:v>5589</x:v>
      </x:c>
      <x:c r="AB41" s="2">
        <x:f t="shared" si="23"/>
        <x:v>5589</x:v>
      </x:c>
      <x:c r="AC41" s="2">
        <x:f t="shared" si="23"/>
        <x:v>55890</x:v>
      </x:c>
    </x:row>
    <x:row r="42" ht="19.950000762939453" customHeight="1">
      <x:c r="A42" s="5" t="s">
        <x:v>161</x:v>
      </x:c>
      <x:c r="B42" s="1"/>
      <x:c r="C42" s="1"/>
      <x:c r="D42" s="2" t="n">
        <x:f t="shared" ref="D42:AC42" si="24">D39-D41</x:f>
        <x:v>0</x:v>
      </x:c>
      <x:c r="E42" s="2">
        <x:f t="shared" si="24"/>
        <x:v>27945</x:v>
      </x:c>
      <x:c r="F42" s="2">
        <x:f t="shared" si="24"/>
        <x:v>27945</x:v>
      </x:c>
      <x:c r="G42" s="2">
        <x:f t="shared" si="24"/>
        <x:v>27945</x:v>
      </x:c>
      <x:c r="H42" s="2">
        <x:f t="shared" si="24"/>
        <x:v>83835</x:v>
      </x:c>
      <x:c r="I42" s="2">
        <x:f t="shared" si="24"/>
        <x:v>83835</x:v>
      </x:c>
      <x:c r="J42" s="2">
        <x:f t="shared" si="24"/>
        <x:v>83835</x:v>
      </x:c>
      <x:c r="K42" s="2">
        <x:f t="shared" si="24"/>
        <x:v>139725</x:v>
      </x:c>
      <x:c r="L42" s="2">
        <x:f t="shared" si="24"/>
        <x:v>139725</x:v>
      </x:c>
      <x:c r="M42" s="2">
        <x:f t="shared" si="24"/>
        <x:v>139725</x:v>
      </x:c>
      <x:c r="N42" s="2">
        <x:f t="shared" si="24"/>
        <x:v>195615</x:v>
      </x:c>
      <x:c r="O42" s="2">
        <x:f t="shared" si="24"/>
        <x:v>195615</x:v>
      </x:c>
      <x:c r="P42" s="2">
        <x:f t="shared" si="24"/>
        <x:v>195615</x:v>
      </x:c>
      <x:c r="Q42" s="2">
        <x:f t="shared" si="24"/>
        <x:v>245916</x:v>
      </x:c>
      <x:c r="R42" s="2">
        <x:f t="shared" si="24"/>
        <x:v>245916</x:v>
      </x:c>
      <x:c r="S42" s="2">
        <x:f t="shared" si="24"/>
        <x:v>245916</x:v>
      </x:c>
      <x:c r="T42" s="2">
        <x:f t="shared" si="24"/>
        <x:v>301806</x:v>
      </x:c>
      <x:c r="U42" s="2">
        <x:f t="shared" si="24"/>
        <x:v>301806</x:v>
      </x:c>
      <x:c r="V42" s="2">
        <x:f t="shared" si="24"/>
        <x:v>301806</x:v>
      </x:c>
      <x:c r="W42" s="2">
        <x:f t="shared" si="24"/>
        <x:v>357696</x:v>
      </x:c>
      <x:c r="X42" s="2">
        <x:f t="shared" si="24"/>
        <x:v>357696</x:v>
      </x:c>
      <x:c r="Y42" s="2">
        <x:f t="shared" si="24"/>
        <x:v>357696</x:v>
      </x:c>
      <x:c r="Z42" s="2">
        <x:f t="shared" si="24"/>
        <x:v>413586</x:v>
      </x:c>
      <x:c r="AA42" s="2">
        <x:f t="shared" si="24"/>
        <x:v>413586</x:v>
      </x:c>
      <x:c r="AB42" s="2">
        <x:f t="shared" si="24"/>
        <x:v>413586</x:v>
      </x:c>
      <x:c r="AC42" s="2">
        <x:f t="shared" si="24"/>
        <x:v>419175</x:v>
      </x:c>
    </x:row>
    <x:row r="43" ht="19.950000762939453" customHeight="1">
      <x:c r="A43" s="5" t="s">
        <x:v>162</x:v>
      </x:c>
      <x:c r="B43" s="1"/>
      <x:c r="C43" s="1"/>
      <x:c r="D43" s="2" t="n">
        <x:f>Inputs!$B$15</x:f>
        <x:v>0</x:v>
      </x:c>
      <x:c r="E43" s="2">
        <x:v>0</x:v>
      </x:c>
      <x:c r="F43" s="2">
        <x:v>0</x:v>
      </x:c>
      <x:c r="G43" s="2">
        <x:v>0</x:v>
      </x:c>
      <x:c r="H43" s="2">
        <x:v>0</x:v>
      </x:c>
      <x:c r="I43" s="2">
        <x:v>0</x:v>
      </x:c>
      <x:c r="J43" s="2">
        <x:v>0</x:v>
      </x:c>
      <x:c r="K43" s="2">
        <x:v>0</x:v>
      </x:c>
      <x:c r="L43" s="2">
        <x:v>0</x:v>
      </x:c>
      <x:c r="M43" s="2">
        <x:v>0</x:v>
      </x:c>
      <x:c r="N43" s="2">
        <x:v>0</x:v>
      </x:c>
      <x:c r="O43" s="2">
        <x:v>0</x:v>
      </x:c>
      <x:c r="P43" s="2">
        <x:v>0</x:v>
      </x:c>
      <x:c r="Q43" s="2">
        <x:v>0</x:v>
      </x:c>
      <x:c r="R43" s="2">
        <x:v>0</x:v>
      </x:c>
      <x:c r="S43" s="2">
        <x:v>0</x:v>
      </x:c>
      <x:c r="T43" s="2">
        <x:v>0</x:v>
      </x:c>
      <x:c r="U43" s="2">
        <x:v>0</x:v>
      </x:c>
      <x:c r="V43" s="2">
        <x:v>0</x:v>
      </x:c>
      <x:c r="W43" s="2">
        <x:v>0</x:v>
      </x:c>
      <x:c r="X43" s="2">
        <x:v>0</x:v>
      </x:c>
      <x:c r="Y43" s="2">
        <x:v>0</x:v>
      </x:c>
      <x:c r="Z43" s="2">
        <x:v>0</x:v>
      </x:c>
      <x:c r="AA43" s="2">
        <x:v>0</x:v>
      </x:c>
      <x:c r="AB43" s="2">
        <x:v>0</x:v>
      </x:c>
      <x:c r="AC43" s="2">
        <x:v>0</x:v>
      </x:c>
    </x:row>
    <x:row r="44" ht="19.950000762939453" customHeight="1">
      <x:c r="A44" s="5" t="s">
        <x:v>163</x:v>
      </x:c>
      <x:c r="B44" s="1"/>
      <x:c r="C44" s="1"/>
      <x:c r="D44" s="2" t="n">
        <x:f>D43</x:f>
        <x:v>0</x:v>
      </x:c>
      <x:c r="E44" s="2" t="n">
        <x:f t="shared" ref="E44:AC44" si="25">D44+E43</x:f>
        <x:v>0</x:v>
      </x:c>
      <x:c r="F44" s="2">
        <x:f t="shared" si="25"/>
        <x:v>0</x:v>
      </x:c>
      <x:c r="G44" s="2">
        <x:f t="shared" si="25"/>
        <x:v>0</x:v>
      </x:c>
      <x:c r="H44" s="2">
        <x:f t="shared" si="25"/>
        <x:v>0</x:v>
      </x:c>
      <x:c r="I44" s="2">
        <x:f t="shared" si="25"/>
        <x:v>0</x:v>
      </x:c>
      <x:c r="J44" s="2">
        <x:f t="shared" si="25"/>
        <x:v>0</x:v>
      </x:c>
      <x:c r="K44" s="2">
        <x:f t="shared" si="25"/>
        <x:v>0</x:v>
      </x:c>
      <x:c r="L44" s="2">
        <x:f t="shared" si="25"/>
        <x:v>0</x:v>
      </x:c>
      <x:c r="M44" s="2">
        <x:f t="shared" si="25"/>
        <x:v>0</x:v>
      </x:c>
      <x:c r="N44" s="2">
        <x:f t="shared" si="25"/>
        <x:v>0</x:v>
      </x:c>
      <x:c r="O44" s="2">
        <x:f t="shared" si="25"/>
        <x:v>0</x:v>
      </x:c>
      <x:c r="P44" s="2">
        <x:f t="shared" si="25"/>
        <x:v>0</x:v>
      </x:c>
      <x:c r="Q44" s="2">
        <x:f t="shared" si="25"/>
        <x:v>0</x:v>
      </x:c>
      <x:c r="R44" s="2">
        <x:f t="shared" si="25"/>
        <x:v>0</x:v>
      </x:c>
      <x:c r="S44" s="2">
        <x:f t="shared" si="25"/>
        <x:v>0</x:v>
      </x:c>
      <x:c r="T44" s="2">
        <x:f t="shared" si="25"/>
        <x:v>0</x:v>
      </x:c>
      <x:c r="U44" s="2">
        <x:f t="shared" si="25"/>
        <x:v>0</x:v>
      </x:c>
      <x:c r="V44" s="2">
        <x:f t="shared" si="25"/>
        <x:v>0</x:v>
      </x:c>
      <x:c r="W44" s="2">
        <x:f t="shared" si="25"/>
        <x:v>0</x:v>
      </x:c>
      <x:c r="X44" s="2">
        <x:f t="shared" si="25"/>
        <x:v>0</x:v>
      </x:c>
      <x:c r="Y44" s="2">
        <x:f t="shared" si="25"/>
        <x:v>0</x:v>
      </x:c>
      <x:c r="Z44" s="2">
        <x:f t="shared" si="25"/>
        <x:v>0</x:v>
      </x:c>
      <x:c r="AA44" s="2">
        <x:f t="shared" si="25"/>
        <x:v>0</x:v>
      </x:c>
      <x:c r="AB44" s="2">
        <x:f t="shared" si="25"/>
        <x:v>0</x:v>
      </x:c>
      <x:c r="AC44" s="2">
        <x:f t="shared" si="25"/>
        <x:v>0</x:v>
      </x:c>
    </x:row>
    <x:row r="45" ht="19.950000762939453" customHeight="1">
      <x:c r="A45" s="5" t="s">
        <x:v>164</x:v>
      </x:c>
      <x:c r="B45" s="1"/>
      <x:c r="C45" s="1"/>
      <x:c r="D45" s="2">
        <x:v>0</x:v>
      </x:c>
      <x:c r="E45" s="2">
        <x:v>0</x:v>
      </x:c>
      <x:c r="F45" s="2">
        <x:v>0</x:v>
      </x:c>
      <x:c r="G45" s="2">
        <x:v>0</x:v>
      </x:c>
      <x:c r="H45" s="2">
        <x:v>0</x:v>
      </x:c>
      <x:c r="I45" s="2">
        <x:v>0</x:v>
      </x:c>
      <x:c r="J45" s="2">
        <x:v>0</x:v>
      </x:c>
      <x:c r="K45" s="2">
        <x:v>0</x:v>
      </x:c>
      <x:c r="L45" s="2">
        <x:v>0</x:v>
      </x:c>
      <x:c r="M45" s="2">
        <x:v>0</x:v>
      </x:c>
      <x:c r="N45" s="2">
        <x:v>0</x:v>
      </x:c>
      <x:c r="O45" s="2">
        <x:v>0</x:v>
      </x:c>
      <x:c r="P45" s="2">
        <x:v>0</x:v>
      </x:c>
      <x:c r="Q45" s="2">
        <x:v>0</x:v>
      </x:c>
      <x:c r="R45" s="2">
        <x:v>0</x:v>
      </x:c>
      <x:c r="S45" s="2">
        <x:v>0</x:v>
      </x:c>
      <x:c r="T45" s="2">
        <x:v>0</x:v>
      </x:c>
      <x:c r="U45" s="2">
        <x:v>0</x:v>
      </x:c>
      <x:c r="V45" s="2">
        <x:v>0</x:v>
      </x:c>
      <x:c r="W45" s="2">
        <x:v>0</x:v>
      </x:c>
      <x:c r="X45" s="2">
        <x:v>0</x:v>
      </x:c>
      <x:c r="Y45" s="2">
        <x:v>0</x:v>
      </x:c>
      <x:c r="Z45" s="2">
        <x:v>0</x:v>
      </x:c>
      <x:c r="AA45" s="2">
        <x:v>0</x:v>
      </x:c>
      <x:c r="AB45" s="2">
        <x:v>0</x:v>
      </x:c>
      <x:c r="AC45" s="2" t="n">
        <x:f>-MIN(MAX(0,Inputs!$B$10),MAX(0,AB27+AC20),MAX(0,AB33+AC28+AC29+AC21+AC43-AC25-Inputs!$B$17))</x:f>
        <x:v>0</x:v>
      </x:c>
    </x:row>
    <x:row r="46" ht="19.950000762939453" customHeight="1">
      <x:c r="A46" s="5" t="s">
        <x:v>165</x:v>
      </x:c>
      <x:c r="B46" s="1"/>
      <x:c r="C46" s="1"/>
      <x:c r="D46" s="2">
        <x:v>0</x:v>
      </x:c>
      <x:c r="E46" s="2">
        <x:v>0</x:v>
      </x:c>
      <x:c r="F46" s="2">
        <x:v>0</x:v>
      </x:c>
      <x:c r="G46" s="2">
        <x:v>0</x:v>
      </x:c>
      <x:c r="H46" s="2">
        <x:v>0</x:v>
      </x:c>
      <x:c r="I46" s="2">
        <x:v>0</x:v>
      </x:c>
      <x:c r="J46" s="2">
        <x:v>0</x:v>
      </x:c>
      <x:c r="K46" s="2">
        <x:v>0</x:v>
      </x:c>
      <x:c r="L46" s="2">
        <x:v>0</x:v>
      </x:c>
      <x:c r="M46" s="2">
        <x:v>0</x:v>
      </x:c>
      <x:c r="N46" s="2">
        <x:v>0</x:v>
      </x:c>
      <x:c r="O46" s="2">
        <x:v>0</x:v>
      </x:c>
      <x:c r="P46" s="2">
        <x:v>0</x:v>
      </x:c>
      <x:c r="Q46" s="2">
        <x:v>0</x:v>
      </x:c>
      <x:c r="R46" s="2">
        <x:v>0</x:v>
      </x:c>
      <x:c r="S46" s="2">
        <x:v>0</x:v>
      </x:c>
      <x:c r="T46" s="2">
        <x:v>0</x:v>
      </x:c>
      <x:c r="U46" s="2">
        <x:v>0</x:v>
      </x:c>
      <x:c r="V46" s="2">
        <x:v>0</x:v>
      </x:c>
      <x:c r="W46" s="2">
        <x:v>0</x:v>
      </x:c>
      <x:c r="X46" s="2">
        <x:v>0</x:v>
      </x:c>
      <x:c r="Y46" s="2">
        <x:v>0</x:v>
      </x:c>
      <x:c r="Z46" s="2">
        <x:v>0</x:v>
      </x:c>
      <x:c r="AA46" s="2">
        <x:v>0</x:v>
      </x:c>
      <x:c r="AB46" s="2">
        <x:v>0</x:v>
      </x:c>
      <x:c r="AC46" s="2">
        <x:v>0</x:v>
      </x:c>
    </x:row>
    <x:row r="47" ht="19.950000762939453" customHeight="1">
      <x:c r="A47" s="5" t="s">
        <x:v>166</x:v>
      </x:c>
      <x:c r="B47" s="1"/>
      <x:c r="C47" s="1"/>
      <x:c r="D47" s="2">
        <x:v>27600</x:v>
      </x:c>
      <x:c r="E47" s="2">
        <x:v>34500</x:v>
      </x:c>
      <x:c r="F47" s="2">
        <x:v>41400</x:v>
      </x:c>
      <x:c r="G47" s="2">
        <x:v>41400</x:v>
      </x:c>
      <x:c r="H47" s="2">
        <x:v>41400</x:v>
      </x:c>
      <x:c r="I47" s="2">
        <x:v>41400</x:v>
      </x:c>
      <x:c r="J47" s="2">
        <x:v>41400</x:v>
      </x:c>
      <x:c r="K47" s="2">
        <x:v>41400</x:v>
      </x:c>
      <x:c r="L47" s="2">
        <x:v>41400</x:v>
      </x:c>
      <x:c r="M47" s="2">
        <x:v>41400</x:v>
      </x:c>
      <x:c r="N47" s="2">
        <x:v>41400</x:v>
      </x:c>
      <x:c r="O47" s="2">
        <x:v>41400</x:v>
      </x:c>
      <x:c r="P47" s="2" t="n">
        <x:f t="shared" ref="P47:AC47" si="26">$O$47</x:f>
        <x:v>41400</x:v>
      </x:c>
      <x:c r="Q47" s="2">
        <x:f t="shared" si="26"/>
        <x:v>41400</x:v>
      </x:c>
      <x:c r="R47" s="2">
        <x:f t="shared" si="26"/>
        <x:v>41400</x:v>
      </x:c>
      <x:c r="S47" s="2">
        <x:f t="shared" si="26"/>
        <x:v>41400</x:v>
      </x:c>
      <x:c r="T47" s="2">
        <x:f t="shared" si="26"/>
        <x:v>41400</x:v>
      </x:c>
      <x:c r="U47" s="2">
        <x:f t="shared" si="26"/>
        <x:v>41400</x:v>
      </x:c>
      <x:c r="V47" s="2">
        <x:f t="shared" si="26"/>
        <x:v>41400</x:v>
      </x:c>
      <x:c r="W47" s="2">
        <x:f t="shared" si="26"/>
        <x:v>41400</x:v>
      </x:c>
      <x:c r="X47" s="2">
        <x:f t="shared" si="26"/>
        <x:v>41400</x:v>
      </x:c>
      <x:c r="Y47" s="2">
        <x:f t="shared" si="26"/>
        <x:v>41400</x:v>
      </x:c>
      <x:c r="Z47" s="2">
        <x:f t="shared" si="26"/>
        <x:v>41400</x:v>
      </x:c>
      <x:c r="AA47" s="2">
        <x:f t="shared" si="26"/>
        <x:v>41400</x:v>
      </x:c>
      <x:c r="AB47" s="2">
        <x:f t="shared" si="26"/>
        <x:v>41400</x:v>
      </x:c>
      <x:c r="AC47" s="2">
        <x:f t="shared" si="26"/>
        <x:v>41400</x:v>
      </x:c>
    </x:row>
    <x:row r="48" ht="19.950000762939453" customHeight="1">
      <x:c r="A48" s="6" t="s">
        <x:v>167</x:v>
      </x:c>
      <x:c r="B48" s="7"/>
      <x:c r="C48" s="7"/>
      <x:c r="D48" s="8" t="n">
        <x:f t="shared" ref="D48:AC48" si="27">D28+D29</x:f>
        <x:v>-89090</x:v>
      </x:c>
      <x:c r="E48" s="8">
        <x:f t="shared" si="27"/>
        <x:v>-168580</x:v>
      </x:c>
      <x:c r="F48" s="8">
        <x:f t="shared" si="27"/>
        <x:v>-38000.000000000007</x:v>
      </x:c>
      <x:c r="G48" s="8">
        <x:f t="shared" si="27"/>
        <x:v>-31200.000000000007</x:v>
      </x:c>
      <x:c r="H48" s="8">
        <x:f t="shared" si="27"/>
        <x:v>-30415.000000000007</x:v>
      </x:c>
      <x:c r="I48" s="8">
        <x:f t="shared" si="27"/>
        <x:v>-20795.000000000007</x:v>
      </x:c>
      <x:c r="J48" s="8">
        <x:f t="shared" si="27"/>
        <x:v>-17115.000000000007</x:v>
      </x:c>
      <x:c r="K48" s="8">
        <x:f t="shared" si="27"/>
        <x:v>-11915.000000000007</x:v>
      </x:c>
      <x:c r="L48" s="8">
        <x:f t="shared" si="27"/>
        <x:v>6520</x:v>
      </x:c>
      <x:c r="M48" s="8">
        <x:f t="shared" si="27"/>
        <x:v>19320</x:v>
      </x:c>
      <x:c r="N48" s="8">
        <x:f t="shared" si="27"/>
        <x:v>38440</x:v>
      </x:c>
      <x:c r="O48" s="8">
        <x:f t="shared" si="27"/>
        <x:v>40720</x:v>
      </x:c>
      <x:c r="P48" s="8">
        <x:f t="shared" si="27"/>
        <x:v>39253.333333333328</x:v>
      </x:c>
      <x:c r="Q48" s="8">
        <x:f t="shared" si="27"/>
        <x:v>39253.333333333328</x:v>
      </x:c>
      <x:c r="R48" s="8">
        <x:f t="shared" si="27"/>
        <x:v>49925.333333333328</x:v>
      </x:c>
      <x:c r="S48" s="8">
        <x:f t="shared" si="27"/>
        <x:v>49925.333333333328</x:v>
      </x:c>
      <x:c r="T48" s="8">
        <x:f t="shared" si="27"/>
        <x:v>49925.333333333328</x:v>
      </x:c>
      <x:c r="U48" s="8">
        <x:f t="shared" si="27"/>
        <x:v>61664.53333333334</x:v>
      </x:c>
      <x:c r="V48" s="8">
        <x:f t="shared" si="27"/>
        <x:v>61664.53333333334</x:v>
      </x:c>
      <x:c r="W48" s="8">
        <x:f t="shared" si="27"/>
        <x:v>61664.53333333334</x:v>
      </x:c>
      <x:c r="X48" s="8">
        <x:f t="shared" si="27"/>
        <x:v>74577.653333333365</x:v>
      </x:c>
      <x:c r="Y48" s="8">
        <x:f t="shared" si="27"/>
        <x:v>74577.653333333365</x:v>
      </x:c>
      <x:c r="Z48" s="8">
        <x:f t="shared" si="27"/>
        <x:v>70311.438452462025</x:v>
      </x:c>
      <x:c r="AA48" s="8">
        <x:f t="shared" si="27"/>
        <x:v>88782.085333333365</x:v>
      </x:c>
      <x:c r="AB48" s="8">
        <x:f t="shared" si="27"/>
        <x:v>88782.085333333365</x:v>
      </x:c>
      <x:c r="AC48" s="8">
        <x:f t="shared" si="27"/>
        <x:v>88782.085333333351</x:v>
      </x:c>
    </x:row>
    <x:row r="49" ht="19.950000762939453" customHeight="1">
      <x:c r="A49" s="5" t="s">
        <x:v>168</x:v>
      </x:c>
      <x:c r="B49" s="1"/>
      <x:c r="C49" s="1"/>
      <x:c r="D49" s="2" t="n">
        <x:f>D48</x:f>
        <x:v>-89090</x:v>
      </x:c>
      <x:c r="E49" s="2" t="n">
        <x:f t="shared" ref="E49:AC49" si="28">D49+E48</x:f>
        <x:v>-257670</x:v>
      </x:c>
      <x:c r="F49" s="2">
        <x:f t="shared" si="28"/>
        <x:v>-295670</x:v>
      </x:c>
      <x:c r="G49" s="2">
        <x:f t="shared" si="28"/>
        <x:v>-326870</x:v>
      </x:c>
      <x:c r="H49" s="2">
        <x:f t="shared" si="28"/>
        <x:v>-357285</x:v>
      </x:c>
      <x:c r="I49" s="2">
        <x:f t="shared" si="28"/>
        <x:v>-378080</x:v>
      </x:c>
      <x:c r="J49" s="2">
        <x:f t="shared" si="28"/>
        <x:v>-395195</x:v>
      </x:c>
      <x:c r="K49" s="2">
        <x:f t="shared" si="28"/>
        <x:v>-407110</x:v>
      </x:c>
      <x:c r="L49" s="2">
        <x:f t="shared" si="28"/>
        <x:v>-400590</x:v>
      </x:c>
      <x:c r="M49" s="2">
        <x:f t="shared" si="28"/>
        <x:v>-381270</x:v>
      </x:c>
      <x:c r="N49" s="2">
        <x:f t="shared" si="28"/>
        <x:v>-342830</x:v>
      </x:c>
      <x:c r="O49" s="2">
        <x:f t="shared" si="28"/>
        <x:v>-302110</x:v>
      </x:c>
      <x:c r="P49" s="2">
        <x:f t="shared" si="28"/>
        <x:v>-262856.66666666669</x:v>
      </x:c>
      <x:c r="Q49" s="2">
        <x:f t="shared" si="28"/>
        <x:v>-223603.33333333337</x:v>
      </x:c>
      <x:c r="R49" s="2">
        <x:f t="shared" si="28"/>
        <x:v>-173678.00000000006</x:v>
      </x:c>
      <x:c r="S49" s="2">
        <x:f t="shared" si="28"/>
        <x:v>-123752.66666666673</x:v>
      </x:c>
      <x:c r="T49" s="2">
        <x:f t="shared" si="28"/>
        <x:v>-73827.333333333401</x:v>
      </x:c>
      <x:c r="U49" s="2">
        <x:f t="shared" si="28"/>
        <x:v>-12162.800000000061</x:v>
      </x:c>
      <x:c r="V49" s="2">
        <x:f t="shared" si="28"/>
        <x:v>49501.733333333279</x:v>
      </x:c>
      <x:c r="W49" s="2">
        <x:f t="shared" si="28"/>
        <x:v>111166.26666666662</x:v>
      </x:c>
      <x:c r="X49" s="2">
        <x:f t="shared" si="28"/>
        <x:v>185743.91999999998</x:v>
      </x:c>
      <x:c r="Y49" s="2">
        <x:f t="shared" si="28"/>
        <x:v>260321.57333333336</x:v>
      </x:c>
      <x:c r="Z49" s="2">
        <x:f t="shared" si="28"/>
        <x:v>330633.01178579539</x:v>
      </x:c>
      <x:c r="AA49" s="2">
        <x:f t="shared" si="28"/>
        <x:v>419415.09711912874</x:v>
      </x:c>
      <x:c r="AB49" s="2">
        <x:f t="shared" si="28"/>
        <x:v>508197.18245246209</x:v>
      </x:c>
      <x:c r="AC49" s="2">
        <x:f t="shared" si="28"/>
        <x:v>596979.2677857955</x:v>
      </x:c>
    </x:row>
    <x:row r="50" ht="19.950000762939453" customHeight="1">
      <x:c r="A50" s="5" t="s">
        <x:v>169</x:v>
      </x:c>
      <x:c r="B50" s="1"/>
      <x:c r="C50" s="1"/>
      <x:c r="D50" s="2" t="n">
        <x:f>MAX(0,D33-D25-Inputs!$B$17)</x:f>
        <x:v>160910</x:v>
      </x:c>
      <x:c r="E50" s="2" t="n">
        <x:f>MAX(0,E33-E25-Inputs!$B$17)</x:f>
        <x:v>0</x:v>
      </x:c>
      <x:c r="F50" s="2" t="n">
        <x:f>MAX(0,F33-F25-Inputs!$B$17)</x:f>
        <x:v>64330</x:v>
      </x:c>
      <x:c r="G50" s="2" t="n">
        <x:f>MAX(0,G33-G25-Inputs!$B$17)</x:f>
        <x:v>33130</x:v>
      </x:c>
      <x:c r="H50" s="2" t="n">
        <x:f>MAX(0,H33-H25-Inputs!$B$17)</x:f>
        <x:v>2714.9999999999927</x:v>
      </x:c>
      <x:c r="I50" s="2" t="n">
        <x:f>MAX(0,I33-I25-Inputs!$B$17)</x:f>
        <x:v>31919.999999999985</x:v>
      </x:c>
      <x:c r="J50" s="2" t="n">
        <x:f>MAX(0,J33-J25-Inputs!$B$17)</x:f>
        <x:v>14804.999999999978</x:v>
      </x:c>
      <x:c r="K50" s="2" t="n">
        <x:f>MAX(0,K33-K25-Inputs!$B$17)</x:f>
        <x:v>2889.999999999971</x:v>
      </x:c>
      <x:c r="L50" s="2" t="n">
        <x:f>MAX(0,L33-L25-Inputs!$B$17)</x:f>
        <x:v>9409.99999999997</x:v>
      </x:c>
      <x:c r="M50" s="2" t="n">
        <x:f>MAX(0,M33-M25-Inputs!$B$17)</x:f>
        <x:v>28729.99999999997</x:v>
      </x:c>
      <x:c r="N50" s="2" t="n">
        <x:f>MAX(0,N33-N25-Inputs!$B$17)</x:f>
        <x:v>67169.99999999997</x:v>
      </x:c>
      <x:c r="O50" s="2" t="n">
        <x:f>MAX(0,O33-O25-Inputs!$B$17)</x:f>
        <x:v>107889.99999999997</x:v>
      </x:c>
      <x:c r="P50" s="2" t="n">
        <x:f>MAX(0,P33-P25-Inputs!$B$17)</x:f>
        <x:v>147143.3333333333</x:v>
      </x:c>
      <x:c r="Q50" s="2" t="n">
        <x:f>MAX(0,Q33-Q25-Inputs!$B$17)</x:f>
        <x:v>182130.4517857953</x:v>
      </x:c>
      <x:c r="R50" s="2" t="n">
        <x:f>MAX(0,R33-R25-Inputs!$B$17)</x:f>
        <x:v>232055.7851191286</x:v>
      </x:c>
      <x:c r="S50" s="2" t="n">
        <x:f>MAX(0,S33-S25-Inputs!$B$17)</x:f>
        <x:v>281981.1184524619</x:v>
      </x:c>
      <x:c r="T50" s="2" t="n">
        <x:f>MAX(0,T33-T25-Inputs!$B$17)</x:f>
        <x:v>331906.4517857952</x:v>
      </x:c>
      <x:c r="U50" s="2" t="n">
        <x:f>MAX(0,U33-U25-Inputs!$B$17)</x:f>
        <x:v>393570.98511912854</x:v>
      </x:c>
      <x:c r="V50" s="2" t="n">
        <x:f>MAX(0,V33-V25-Inputs!$B$17)</x:f>
        <x:v>455235.51845246187</x:v>
      </x:c>
      <x:c r="W50" s="2" t="n">
        <x:f>MAX(0,W33-W25-Inputs!$B$17)</x:f>
        <x:v>516900.05178579525</x:v>
      </x:c>
      <x:c r="X50" s="2" t="n">
        <x:f>MAX(0,X33-X25-Inputs!$B$17)</x:f>
        <x:v>591477.7051191286</x:v>
      </x:c>
      <x:c r="Y50" s="2" t="n">
        <x:f>MAX(0,Y33-Y25-Inputs!$B$17)</x:f>
        <x:v>666055.3584524619</x:v>
      </x:c>
      <x:c r="Z50" s="2" t="n">
        <x:f>MAX(0,Z33-Z25-Inputs!$B$17)</x:f>
        <x:v>740633.0117857952</x:v>
      </x:c>
      <x:c r="AA50" s="2" t="n">
        <x:f>MAX(0,AA33-AA25-Inputs!$B$17)</x:f>
        <x:v>829415.0971191286</x:v>
      </x:c>
      <x:c r="AB50" s="2" t="n">
        <x:f>MAX(0,AB33-AB25-Inputs!$B$17)</x:f>
        <x:v>918197.1824524619</x:v>
      </x:c>
      <x:c r="AC50" s="2" t="n">
        <x:f>MAX(0,AC33-AC25-Inputs!$B$17)</x:f>
        <x:v>929201.489464924</x:v>
      </x:c>
    </x:row>
    <x:row r="51" ht="19.950000762939453" customHeight="1">
      <x:c r="A51" s="64" t="str">
        <x:v>Founder resources recognised in this forecast</x:v>
      </x:c>
      <x:c r="B51" s="9"/>
      <x:c r="C51" s="9"/>
      <x:c r="D51" s="51">
        <x:v>0</x:v>
      </x:c>
      <x:c r="E51" s="11">
        <x:v>0</x:v>
      </x:c>
      <x:c r="F51" s="11">
        <x:v>0</x:v>
      </x:c>
      <x:c r="G51" s="11">
        <x:v>0</x:v>
      </x:c>
      <x:c r="H51" s="11">
        <x:v>0</x:v>
      </x:c>
      <x:c r="I51" s="11">
        <x:v>0</x:v>
      </x:c>
      <x:c r="J51" s="11">
        <x:v>0</x:v>
      </x:c>
      <x:c r="K51" s="11">
        <x:v>0</x:v>
      </x:c>
      <x:c r="L51" s="11">
        <x:v>0</x:v>
      </x:c>
      <x:c r="M51" s="11">
        <x:v>0</x:v>
      </x:c>
      <x:c r="N51" s="11">
        <x:v>0</x:v>
      </x:c>
      <x:c r="O51" s="11">
        <x:v>0</x:v>
      </x:c>
      <x:c r="P51" s="11">
        <x:v>0</x:v>
      </x:c>
      <x:c r="Q51" s="11">
        <x:v>0</x:v>
      </x:c>
      <x:c r="R51" s="11">
        <x:v>0</x:v>
      </x:c>
      <x:c r="S51" s="11">
        <x:v>0</x:v>
      </x:c>
      <x:c r="T51" s="11">
        <x:v>0</x:v>
      </x:c>
      <x:c r="U51" s="11">
        <x:v>0</x:v>
      </x:c>
      <x:c r="V51" s="11">
        <x:v>0</x:v>
      </x:c>
      <x:c r="W51" s="11">
        <x:v>0</x:v>
      </x:c>
      <x:c r="X51" s="11">
        <x:v>0</x:v>
      </x:c>
      <x:c r="Y51" s="11">
        <x:v>0</x:v>
      </x:c>
      <x:c r="Z51" s="11">
        <x:v>0</x:v>
      </x:c>
      <x:c r="AA51" s="11">
        <x:v>0</x:v>
      </x:c>
      <x:c r="AB51" s="11">
        <x:v>0</x:v>
      </x:c>
      <x:c r="AC51" s="11">
        <x:v>0</x:v>
      </x:c>
    </x:row>
    <x:row r="52" ht="19.950000762939453" customHeight="1">
      <x:c r="A52" s="65" t="str">
        <x:v>Founder assets recognised in this forecast</x:v>
      </x:c>
      <x:c r="B52" s="13"/>
      <x:c r="C52" s="13"/>
      <x:c r="D52" s="14" t="n">
        <x:f>D51</x:f>
        <x:v>0</x:v>
      </x:c>
      <x:c r="E52" s="14" t="n">
        <x:f t="shared" ref="E52:AC52" si="29">D52+E51</x:f>
        <x:v>0</x:v>
      </x:c>
      <x:c r="F52" s="14">
        <x:f t="shared" si="29"/>
        <x:v>0</x:v>
      </x:c>
      <x:c r="G52" s="14">
        <x:f t="shared" si="29"/>
        <x:v>0</x:v>
      </x:c>
      <x:c r="H52" s="14">
        <x:f t="shared" si="29"/>
        <x:v>0</x:v>
      </x:c>
      <x:c r="I52" s="14">
        <x:f t="shared" si="29"/>
        <x:v>0</x:v>
      </x:c>
      <x:c r="J52" s="14">
        <x:f t="shared" si="29"/>
        <x:v>0</x:v>
      </x:c>
      <x:c r="K52" s="14">
        <x:f t="shared" si="29"/>
        <x:v>0</x:v>
      </x:c>
      <x:c r="L52" s="14">
        <x:f t="shared" si="29"/>
        <x:v>0</x:v>
      </x:c>
      <x:c r="M52" s="14">
        <x:f t="shared" si="29"/>
        <x:v>0</x:v>
      </x:c>
      <x:c r="N52" s="14">
        <x:f t="shared" si="29"/>
        <x:v>0</x:v>
      </x:c>
      <x:c r="O52" s="14">
        <x:f t="shared" si="29"/>
        <x:v>0</x:v>
      </x:c>
      <x:c r="P52" s="14">
        <x:f t="shared" si="29"/>
        <x:v>0</x:v>
      </x:c>
      <x:c r="Q52" s="14">
        <x:f t="shared" si="29"/>
        <x:v>0</x:v>
      </x:c>
      <x:c r="R52" s="14">
        <x:f t="shared" si="29"/>
        <x:v>0</x:v>
      </x:c>
      <x:c r="S52" s="14">
        <x:f t="shared" si="29"/>
        <x:v>0</x:v>
      </x:c>
      <x:c r="T52" s="14">
        <x:f t="shared" si="29"/>
        <x:v>0</x:v>
      </x:c>
      <x:c r="U52" s="14">
        <x:f t="shared" si="29"/>
        <x:v>0</x:v>
      </x:c>
      <x:c r="V52" s="14">
        <x:f t="shared" si="29"/>
        <x:v>0</x:v>
      </x:c>
      <x:c r="W52" s="14">
        <x:f t="shared" si="29"/>
        <x:v>0</x:v>
      </x:c>
      <x:c r="X52" s="14">
        <x:f t="shared" si="29"/>
        <x:v>0</x:v>
      </x:c>
      <x:c r="Y52" s="14">
        <x:f t="shared" si="29"/>
        <x:v>0</x:v>
      </x:c>
      <x:c r="Z52" s="14">
        <x:f t="shared" si="29"/>
        <x:v>0</x:v>
      </x:c>
      <x:c r="AA52" s="14">
        <x:f t="shared" si="29"/>
        <x:v>0</x:v>
      </x:c>
      <x:c r="AB52" s="14">
        <x:f t="shared" si="29"/>
        <x:v>0</x:v>
      </x:c>
      <x:c r="AC52" s="14">
        <x:f t="shared" si="29"/>
        <x:v>0</x:v>
      </x:c>
    </x:row>
  </x:sheetData>
  <x:pageMargins left="0.7" right="0.7" top="0.75" bottom="0.75" header="0.3" footer="0.3"/>
  <x:legacyDrawing xmlns:r="http://schemas.openxmlformats.org/officeDocument/2006/relationships" r:id="Rda29f1c251c54ff7"/>
</x:worksheet>
</file>